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75" windowWidth="11985" windowHeight="5775" activeTab="0"/>
  </bookViews>
  <sheets>
    <sheet name="NOV19 A OUT20 " sheetId="1" r:id="rId1"/>
  </sheets>
  <definedNames>
    <definedName name="_xlnm.Print_Area" localSheetId="0">'NOV19 A OUT20 '!$A$2:$CU$127</definedName>
  </definedNames>
  <calcPr fullCalcOnLoad="1"/>
</workbook>
</file>

<file path=xl/comments1.xml><?xml version="1.0" encoding="utf-8"?>
<comments xmlns="http://schemas.openxmlformats.org/spreadsheetml/2006/main">
  <authors>
    <author>BA2057</author>
  </authors>
  <commentList>
    <comment ref="B25" authorId="0">
      <text>
        <r>
          <rPr>
            <sz val="9"/>
            <rFont val="Tahoma"/>
            <family val="2"/>
          </rPr>
          <t>MATERIAL DE HIGIENE E LIMPEZA.</t>
        </r>
      </text>
    </comment>
    <comment ref="B26" authorId="0">
      <text>
        <r>
          <rPr>
            <sz val="9"/>
            <rFont val="Tahoma"/>
            <family val="2"/>
          </rPr>
          <t>TECIDOS JEANS</t>
        </r>
      </text>
    </comment>
    <comment ref="B28" authorId="0">
      <text>
        <r>
          <rPr>
            <sz val="9"/>
            <rFont val="Tahoma"/>
            <family val="2"/>
          </rPr>
          <t>EM CONFORMIDADE COM O VALOR ENVIADO NO MAPA DE RESULTADOS.</t>
        </r>
      </text>
    </comment>
    <comment ref="B30" authorId="0">
      <text>
        <r>
          <rPr>
            <sz val="9"/>
            <rFont val="Tahoma"/>
            <family val="2"/>
          </rPr>
          <t>Faturamento mensal do arrecadamento das empresas colaboradoras.</t>
        </r>
      </text>
    </comment>
    <comment ref="B31" authorId="0">
      <text>
        <r>
          <rPr>
            <sz val="9"/>
            <rFont val="Tahoma"/>
            <family val="2"/>
          </rPr>
          <t>Faturamento mensal do distribuição nas instituições cadastradas (sistemáticas e eventuais)</t>
        </r>
      </text>
    </comment>
    <comment ref="B32" authorId="0">
      <text>
        <r>
          <rPr>
            <sz val="9"/>
            <rFont val="Tahoma"/>
            <family val="2"/>
          </rPr>
          <t>Material de higiene, limpeza, descartáveis, vestuário e tecido.</t>
        </r>
      </text>
    </comment>
    <comment ref="B33" authorId="0">
      <text>
        <r>
          <rPr>
            <sz val="9"/>
            <rFont val="Tahoma"/>
            <family val="2"/>
          </rPr>
          <t>Quantida mensal dos atendimentos realizados.</t>
        </r>
      </text>
    </comment>
  </commentList>
</comments>
</file>

<file path=xl/sharedStrings.xml><?xml version="1.0" encoding="utf-8"?>
<sst xmlns="http://schemas.openxmlformats.org/spreadsheetml/2006/main" count="203" uniqueCount="197">
  <si>
    <t>CEASA</t>
  </si>
  <si>
    <t>CONAB</t>
  </si>
  <si>
    <t>NESTLE</t>
  </si>
  <si>
    <t>ATACADÃO</t>
  </si>
  <si>
    <t>FUND. BRADESCO</t>
  </si>
  <si>
    <t>RENOVA</t>
  </si>
  <si>
    <t>OUTRAS DOAÇÕES</t>
  </si>
  <si>
    <t>UNILEVER FOODS</t>
  </si>
  <si>
    <t>UNILEVER HPC</t>
  </si>
  <si>
    <t>TOTAL GERAL</t>
  </si>
  <si>
    <t>DOADORES</t>
  </si>
  <si>
    <t>JAN</t>
  </si>
  <si>
    <t>FEV</t>
  </si>
  <si>
    <t>AGO</t>
  </si>
  <si>
    <t>DEZ</t>
  </si>
  <si>
    <t>CAMPANHAS</t>
  </si>
  <si>
    <t>DIST. MESQUITA</t>
  </si>
  <si>
    <t>Quilos Arrecadados</t>
  </si>
  <si>
    <t>Quilos Distribuídos</t>
  </si>
  <si>
    <t xml:space="preserve">Outras Doações </t>
  </si>
  <si>
    <t>Atendimentos Realizados</t>
  </si>
  <si>
    <t>INSTITUIÇÕES</t>
  </si>
  <si>
    <t>Atendimento</t>
  </si>
  <si>
    <t>TOTAL</t>
  </si>
  <si>
    <t>AAPC - ASSOCIAÇÃO DE APOIO A PESSOA COM CÂNCER</t>
  </si>
  <si>
    <t>ADRA – AGÊNCIA ADVENTISTA DE DESENVOLVIMENTO DE RECURSOS ASSISTENCIAIS</t>
  </si>
  <si>
    <t>AFAS - ASSOCIAÇÃO FRATERNAL DE ASSISTÊNCIA SOCIAL</t>
  </si>
  <si>
    <t>APAE - ASSOCIAÇÃO DE PAIS E AMIGOS DOS EXCEPCIONAIS</t>
  </si>
  <si>
    <t>ASSEC - ASSOCIAÇÃO SEMEADORES DE CRISTO</t>
  </si>
  <si>
    <t>ASSOCIAÇÃO FEIRENSE MINHAS CRIANÇAS</t>
  </si>
  <si>
    <t>ASSOCIAÇÃO TIA BERNA</t>
  </si>
  <si>
    <t>CASA ALABASTRO</t>
  </si>
  <si>
    <t>CENTRO COMUNITÁRIO LUZ E LABOR</t>
  </si>
  <si>
    <t>CENTRO DE APOIO ADOLESCENTE DO PARQUE LAGOA SUBAÉ E ADJACÊNCIAS</t>
  </si>
  <si>
    <t>CENTRO LAR MARIANO / ASSOCIAÇÃO OBRA DO CENÁCULO DA CARIDADE À SERVIÇO DOS POBRES</t>
  </si>
  <si>
    <t>CENTRO SOCIAL MÃE DA PROVIDÊNCIA</t>
  </si>
  <si>
    <t>CHÁCARA DE RESTAURAÇÃO ZULEIDE BRAGA PLÁCIDO / FUNDAÇÃO RAINHA DOS APÓSTOLOS</t>
  </si>
  <si>
    <t>CRAS GEORGE AMÉRICO</t>
  </si>
  <si>
    <t>CRAS RUA NOVA</t>
  </si>
  <si>
    <t>CRECHE AMPARO ÀS CRIANÇAS / CLUBE DE MÃES AÇÃO COMUNITÁRIA INVASÃO DA MANGABEIRA</t>
  </si>
  <si>
    <t xml:space="preserve">CRECHE ASSOCIAÇÃO CRISTÃ FEMININA </t>
  </si>
  <si>
    <t>CRECHE CAMINHO DA PAZ</t>
  </si>
  <si>
    <t>CRECHE ESCOLA PRÓ LÉA / ASSOCIAÇÃO UNIÃO E FORÇA</t>
  </si>
  <si>
    <t>CRECHE MÃOS UNIDAS</t>
  </si>
  <si>
    <t>CRECHE TIA ANA LÚCIA</t>
  </si>
  <si>
    <t>CRECHE VOVÓ MARTA</t>
  </si>
  <si>
    <t>DISPENSÁRIO SANTANA</t>
  </si>
  <si>
    <t>ESCOLA COMUNITÁRIA FRUTOS DA TERRA / ASSOCIAÇÃO SANTUÁRIO DA CRISTANDADE MONTE SANTO</t>
  </si>
  <si>
    <t xml:space="preserve">FAZENDA DA ESPERANÇA IRMÃ DULCE </t>
  </si>
  <si>
    <t>HOSPITAL DOM PEDRO DE ALCÂNTARA</t>
  </si>
  <si>
    <t>INSTITUIÇÃO CAMINHO DO AMOR</t>
  </si>
  <si>
    <t>LAR DO IRMÃO VELHO</t>
  </si>
  <si>
    <t>Voltar</t>
  </si>
  <si>
    <t>Gráfico de Atendimento</t>
  </si>
  <si>
    <t>ASSOCIAÇÃO COMUNITÁRIA DAS VILAS UNIDAS</t>
  </si>
  <si>
    <t>WALMART</t>
  </si>
  <si>
    <t>CRAS FRATERNIDADE</t>
  </si>
  <si>
    <t>CRAS AVIÁRIO</t>
  </si>
  <si>
    <t>DANONE</t>
  </si>
  <si>
    <t>CRAS SANTO ANTÔNIO DOS PRAZERES</t>
  </si>
  <si>
    <t>CRAS JUSSARA / PEDRA DO DESCANSO</t>
  </si>
  <si>
    <t>PEPSICO</t>
  </si>
  <si>
    <t>COCA-COLA</t>
  </si>
  <si>
    <t>G BARBOSA</t>
  </si>
  <si>
    <t>PANIFICADORA SANTA RITA</t>
  </si>
  <si>
    <t>CASA DE AMPARO AO IDOSO E À CRIANÇA COM CÂNCER</t>
  </si>
  <si>
    <t>CRAS PAMPALONA</t>
  </si>
  <si>
    <t>CRAS EXPANSÃO FEIRA IX</t>
  </si>
  <si>
    <t>CRAS QUEIMADINHA</t>
  </si>
  <si>
    <t>CRAS MANGABEIRA</t>
  </si>
  <si>
    <t>ASSOCIAÇÃO CRISTÃ BENEFICENTE NOSSA SENHORA DOS HUMILDES</t>
  </si>
  <si>
    <t>PASTORAL DA CRIANÇA DE FEIRA DE SANTANA</t>
  </si>
  <si>
    <t>CRAS BARAÚNAS</t>
  </si>
  <si>
    <t>HORTALIÇA AR COSTA</t>
  </si>
  <si>
    <t xml:space="preserve">                 MAPA DE ARRECADAÇÃO TOTAL DE NOVEMBRO-2012 A OUTUBRO-2013 - MBS FEIRA DE SANTANA</t>
  </si>
  <si>
    <t>CRAS DISTRITO DE HUMILDES</t>
  </si>
  <si>
    <t>ASSOCIAÇÃO SENTIMENTO NOVO</t>
  </si>
  <si>
    <t>MADEIREIRA PICA PAU</t>
  </si>
  <si>
    <t>CRAS DISTRITO SÃO JOSÉ</t>
  </si>
  <si>
    <t>EUTRÓPIO</t>
  </si>
  <si>
    <t>CRAS PARQUE LAGOA GRANDE</t>
  </si>
  <si>
    <t>CENTRO SOCIAL MONSENHOR JESSÉ</t>
  </si>
  <si>
    <t xml:space="preserve"> </t>
  </si>
  <si>
    <t>CREAS MARIA REGIS</t>
  </si>
  <si>
    <t>CREAS RUTH GUSMÃO</t>
  </si>
  <si>
    <t>COMUNIDADE TERAPÊUTICA CRERES</t>
  </si>
  <si>
    <t>COMUNIDADE TERAPÊUTICA CRESOL</t>
  </si>
  <si>
    <t>COMUNIDADE TERAPÊUTICA DESAFIO JOVEM</t>
  </si>
  <si>
    <t>COMUNIDADE TERAPÊUTICA FEMININO CRISTO É VIDA</t>
  </si>
  <si>
    <t>COMUNIDADE TERAPÊUTICA NOVA VIDA</t>
  </si>
  <si>
    <t>CREAS BARAÚNAS</t>
  </si>
  <si>
    <t>ATENTO BRASIL</t>
  </si>
  <si>
    <t>SENAC</t>
  </si>
  <si>
    <t>ATACADÃO VESTUÁRIO</t>
  </si>
  <si>
    <t>OBRA ASSISTENCIAL CHÁCARA SÃO COSME</t>
  </si>
  <si>
    <t>CRAS CIDADE NOVA</t>
  </si>
  <si>
    <t>INSTITUIÇÃO FRATERNAL SORRISO DE CRIANÇA</t>
  </si>
  <si>
    <t>ATACADÃO HPC</t>
  </si>
  <si>
    <t>FUNDAÇÃO APRISCO - CASA DE PASSAGEM</t>
  </si>
  <si>
    <t>ASSOCIAÇÃO MÃOS QUE REALIZAM</t>
  </si>
  <si>
    <t>NESTLÉ</t>
  </si>
  <si>
    <t>ASSOCIAÇÃO ALESSANDRO NOTTEGAR/ CRECHE MATERNAL MENINO JESUS</t>
  </si>
  <si>
    <t>CAMPANHA SAJ</t>
  </si>
  <si>
    <t>VOSA - VOLUNTÁRIOS SOLID. EM AÇÃO DA COM. DE SÃO JOSÉ DO ANDAIA - SAJ</t>
  </si>
  <si>
    <t>PACE - ASSOC. PÉ DE ARTE CULTURA E EDUCAÇÃO</t>
  </si>
  <si>
    <t>SOCIEDADE ESPIRITA JOSE PETITINGA - SAJ</t>
  </si>
  <si>
    <t>CENTRO EVANGÉLICO DE APOIO E ACOLHIMENTO</t>
  </si>
  <si>
    <t>ATACADÃO SAJ</t>
  </si>
  <si>
    <t>PALÁCIO DAS FRUTAS SAJ</t>
  </si>
  <si>
    <t>GESCA - GREMIO EDUC SOCIAL E CULTURAL ÁGUIAS - SAJ</t>
  </si>
  <si>
    <t>ASSOCIAÇÃO APRISCO - SAJ</t>
  </si>
  <si>
    <t>SANTA CASA DE MISERICÓRDIA SAJ / LAR DOS IDOSOS - SAJ</t>
  </si>
  <si>
    <t>ASSOCIAÇÃO PARÓQUIA SÃO BENEDITO SAJ / CRECHE ESCOLA 11 DE DEZEMBRO - SAJ</t>
  </si>
  <si>
    <t>ASSOCIAÇÃO SHALOM ADONAI / CRECHE SHALOM KIDS</t>
  </si>
  <si>
    <t>CRECHE RUBEM CERQUEIRA  / ONG CENTRAL DA CIDADANIA</t>
  </si>
  <si>
    <t>NATAL SOLIDÁRIO</t>
  </si>
  <si>
    <t>FEDERAÇÃO BAIANA DE BALEADO</t>
  </si>
  <si>
    <t>ATACADÃO SAJ HPC</t>
  </si>
  <si>
    <t>CAMPANHA VEST./OUTROS SAJ</t>
  </si>
  <si>
    <t>CENTRO DE CONVIVÊNCIA RAUL FREIRE</t>
  </si>
  <si>
    <t>CENTRO DE FORMAÇÃO ARTESANAL JUIZ WALTER</t>
  </si>
  <si>
    <t>CAMPANHA SESC</t>
  </si>
  <si>
    <t>ASSOCIAÇÃO COMUNITÁRIA CIDADE NOVA</t>
  </si>
  <si>
    <t>SILMARA (VEST.)</t>
  </si>
  <si>
    <t>SENAC SAJ</t>
  </si>
  <si>
    <t>CRECHE ESCOLA PEQUENA TAMY / ASTFS - ASSOCIAÇÃO DOS SEM TETO DE FEIRA DE SANTANA</t>
  </si>
  <si>
    <t>PAA - COMUM. BETE II</t>
  </si>
  <si>
    <t>E FRUTAS</t>
  </si>
  <si>
    <t>SEDESO - SECRETARIA DE DESENV. SOCIAL (COSTURART)</t>
  </si>
  <si>
    <t xml:space="preserve">ASSOCIAÇÃO DE MORADORES PARQUE BRASIL (ANTIGA CRECHE TIO JONAS) </t>
  </si>
  <si>
    <t>ASSOCIAÇÃO BENEFICIENTE CULTURAL E RECREATIVA INHAMBUPENSE - ABECRIN - ALAGOINHAS</t>
  </si>
  <si>
    <t>API - ASSOCIAÇÃO DE PROTEÇÃO A INFÂNCIA</t>
  </si>
  <si>
    <t>SUBWAY</t>
  </si>
  <si>
    <t>NATAL SOLIDÁRIO HPC/VEST</t>
  </si>
  <si>
    <t>CRAS CIDADANIA SAJ</t>
  </si>
  <si>
    <t>CRAS COMUNIDADE SAJ</t>
  </si>
  <si>
    <t>CRAS QUILOMBOLA SAJ</t>
  </si>
  <si>
    <t>CRAS NAZARETH ASSIS</t>
  </si>
  <si>
    <t>JMACÊDO</t>
  </si>
  <si>
    <t xml:space="preserve">NATAL SOLIDÁRIO SAJ </t>
  </si>
  <si>
    <t>SESC CENTRO</t>
  </si>
  <si>
    <t>MAC RAMOS</t>
  </si>
  <si>
    <t>CASA DE DEUS</t>
  </si>
  <si>
    <t>CAMPANHA SENAC</t>
  </si>
  <si>
    <t>MEGA DOCE SAJ</t>
  </si>
  <si>
    <t>MERCADÃO SAJ</t>
  </si>
  <si>
    <t>MIX BAHIA SAJ</t>
  </si>
  <si>
    <t>CAMPANHA ATACADÃO SAJ</t>
  </si>
  <si>
    <t>CAMPANHA CONDOMÍNIO SAJ</t>
  </si>
  <si>
    <t>CAMPANHA CONDOMÍNIO SAJ /HPC</t>
  </si>
  <si>
    <t>COOPERATIVA REDE DE MULHERES PRODUTORAS DA BAHIA/ TECER ARTE</t>
  </si>
  <si>
    <t>CAMPANHA CONDOMÍNIO</t>
  </si>
  <si>
    <t>CAMPANHA ATACADÃO</t>
  </si>
  <si>
    <t>CAMPANHA ATACADÃO HPC</t>
  </si>
  <si>
    <t>DRIVE THRU</t>
  </si>
  <si>
    <t>DRIVE THRU HPC</t>
  </si>
  <si>
    <t>CAMPANHA CONDOMÍNIO HPC</t>
  </si>
  <si>
    <t>CRAS JARDIM ACÁCIA</t>
  </si>
  <si>
    <t>CAMPANHA ATACADÃO SAJ/ HPC</t>
  </si>
  <si>
    <t>DRIVE THRU SAJ</t>
  </si>
  <si>
    <t>DRIVE THRU SAJ/HPC</t>
  </si>
  <si>
    <t>CAMPANHA SUPERMERCADO SAJ</t>
  </si>
  <si>
    <t>CAMPANHA SUPERMERCADO SAJ/HPC</t>
  </si>
  <si>
    <t>ASSOCIACÇAO DE MOARADORES URBIS 4-SAJ</t>
  </si>
  <si>
    <t>GRUPO BIG</t>
  </si>
  <si>
    <t>CLAUDENIO</t>
  </si>
  <si>
    <t>GRUPO BIG SAJ</t>
  </si>
  <si>
    <t>LIVES SOLIDÁRIA CASAS BAHIA</t>
  </si>
  <si>
    <t>LIVES SOLIDÁRIA D.F</t>
  </si>
  <si>
    <t>LIVES SOLIDÁRIA</t>
  </si>
  <si>
    <t>LIVES SOLID.SAJ</t>
  </si>
  <si>
    <t>-</t>
  </si>
  <si>
    <t>JOSÉ JORGE</t>
  </si>
  <si>
    <t>LIVE SOLIDÁRIA MARGARETH MENEZES</t>
  </si>
  <si>
    <t>M. DIAS BRANCO</t>
  </si>
  <si>
    <t>ANA PAULA VEST</t>
  </si>
  <si>
    <t>LIVE SOLIDÁRIA SESC BAHIA</t>
  </si>
  <si>
    <t>LIVES SOLIDÁRIA CASAS BAHIA SAJ</t>
  </si>
  <si>
    <t>LIVE SOLIDÁRIA MARGARETH MENEZES SAJ</t>
  </si>
  <si>
    <t>INST. DIABETICOS DE SANTO ANTÔNIO DE JESUS - IDSAJ</t>
  </si>
  <si>
    <t>LAR FRAMCISCANO EMMA BARBETTI - ALAGOINHAS</t>
  </si>
  <si>
    <t>LAR SUBSTITUTO PARA IDOSOS NOVA ESPERANÇA - ALAGOINHAS</t>
  </si>
  <si>
    <t>CAMPANHA SESC ALAGOINHAS</t>
  </si>
  <si>
    <t>DRIVE THRU SESC ALAGOINHAS</t>
  </si>
  <si>
    <t xml:space="preserve">CENTRO POP - CENTRO TEMPORÁRIO DE ACOLHIMENTO A POPULAÇÃO EM SITUAÇÃO DE RUA </t>
  </si>
  <si>
    <t>MARCIO SAJ</t>
  </si>
  <si>
    <t>DEJANIR VESTUÁRIO</t>
  </si>
  <si>
    <t>DEJANIR HPC</t>
  </si>
  <si>
    <t>NATAL SOLIDÁRIO SAJ  HPC/VEST</t>
  </si>
  <si>
    <t>LIVE SOLIDÁRIA MARGARETH MENEZES SAJ HPC</t>
  </si>
  <si>
    <t>CAMPANHA SESC VEST.</t>
  </si>
  <si>
    <t>RENOVA VEST.</t>
  </si>
  <si>
    <t>NATAL SOLIDÁRIO ALAGOINHAS</t>
  </si>
  <si>
    <t>NATAL SOLIDÁRIO ALAGOINHAS HPC/VEST</t>
  </si>
  <si>
    <t>CAMPANHA SENAC SAJ</t>
  </si>
  <si>
    <t>ASSEC VEST./ OUTROS)</t>
  </si>
  <si>
    <t xml:space="preserve">JULIANA MATOS 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</si>
</sst>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[Blue]\ #,##0.000\ \K\g;[Red]\ #,##0.000\ \K\g"/>
    <numFmt numFmtId="172" formatCode="\ #,##0.000"/>
    <numFmt numFmtId="173" formatCode="[Blue]\ #,##0.000;[Red]\ #,##0.000"/>
    <numFmt numFmtId="174" formatCode="#,##0;\ #,##0"/>
    <numFmt numFmtId="175" formatCode="[Blue]\ #,##0.0000\ \K\g;[Red]\ #,##0.0000\ \K\g"/>
    <numFmt numFmtId="176" formatCode="#,##0.000;[Red]#,##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1" fontId="4" fillId="0" borderId="10" xfId="0" applyNumberFormat="1" applyFont="1" applyFill="1" applyBorder="1" applyAlignment="1" applyProtection="1">
      <alignment horizontal="right" vertical="center"/>
      <protection/>
    </xf>
    <xf numFmtId="171" fontId="4" fillId="0" borderId="10" xfId="0" applyNumberFormat="1" applyFont="1" applyFill="1" applyBorder="1" applyAlignment="1" applyProtection="1">
      <alignment vertical="center"/>
      <protection/>
    </xf>
    <xf numFmtId="171" fontId="4" fillId="0" borderId="0" xfId="0" applyNumberFormat="1" applyFont="1" applyFill="1" applyAlignment="1" applyProtection="1">
      <alignment vertical="center"/>
      <protection/>
    </xf>
    <xf numFmtId="171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171" fontId="0" fillId="0" borderId="0" xfId="0" applyNumberFormat="1" applyFont="1" applyFill="1" applyAlignment="1" applyProtection="1">
      <alignment/>
      <protection/>
    </xf>
    <xf numFmtId="171" fontId="0" fillId="0" borderId="0" xfId="55" applyNumberFormat="1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 horizontal="center"/>
      <protection/>
    </xf>
    <xf numFmtId="171" fontId="0" fillId="0" borderId="0" xfId="0" applyNumberFormat="1" applyFont="1" applyFill="1" applyAlignment="1" applyProtection="1">
      <alignment horizontal="center" vertical="center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44" applyNumberFormat="1" applyFont="1" applyFill="1" applyAlignment="1" applyProtection="1">
      <alignment horizontal="left" vertical="center"/>
      <protection/>
    </xf>
    <xf numFmtId="171" fontId="9" fillId="0" borderId="0" xfId="44" applyNumberFormat="1" applyFont="1" applyFill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1" fontId="4" fillId="0" borderId="0" xfId="0" applyNumberFormat="1" applyFont="1" applyFill="1" applyAlignment="1" applyProtection="1">
      <alignment horizontal="center" vertical="center" wrapText="1"/>
      <protection/>
    </xf>
    <xf numFmtId="171" fontId="10" fillId="0" borderId="0" xfId="0" applyNumberFormat="1" applyFont="1" applyFill="1" applyAlignment="1" applyProtection="1">
      <alignment horizontal="left"/>
      <protection/>
    </xf>
    <xf numFmtId="171" fontId="11" fillId="0" borderId="0" xfId="0" applyNumberFormat="1" applyFont="1" applyFill="1" applyAlignment="1" applyProtection="1">
      <alignment horizontal="center"/>
      <protection/>
    </xf>
    <xf numFmtId="171" fontId="12" fillId="0" borderId="0" xfId="0" applyNumberFormat="1" applyFont="1" applyFill="1" applyAlignment="1" applyProtection="1">
      <alignment horizontal="left"/>
      <protection/>
    </xf>
    <xf numFmtId="171" fontId="12" fillId="0" borderId="0" xfId="0" applyNumberFormat="1" applyFont="1" applyFill="1" applyAlignment="1" applyProtection="1">
      <alignment horizontal="left" vertical="center"/>
      <protection/>
    </xf>
    <xf numFmtId="171" fontId="11" fillId="0" borderId="0" xfId="0" applyNumberFormat="1" applyFont="1" applyFill="1" applyAlignment="1" applyProtection="1">
      <alignment horizontal="center" vertical="center"/>
      <protection/>
    </xf>
    <xf numFmtId="172" fontId="4" fillId="0" borderId="12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/>
      <protection/>
    </xf>
    <xf numFmtId="171" fontId="4" fillId="0" borderId="13" xfId="55" applyNumberFormat="1" applyFont="1" applyFill="1" applyBorder="1" applyAlignment="1" applyProtection="1">
      <alignment horizontal="center" vertical="center"/>
      <protection/>
    </xf>
    <xf numFmtId="171" fontId="7" fillId="32" borderId="10" xfId="0" applyNumberFormat="1" applyFont="1" applyFill="1" applyBorder="1" applyAlignment="1" applyProtection="1">
      <alignment horizontal="center" vertical="center" wrapText="1"/>
      <protection/>
    </xf>
    <xf numFmtId="172" fontId="4" fillId="32" borderId="14" xfId="0" applyNumberFormat="1" applyFont="1" applyFill="1" applyBorder="1" applyAlignment="1" applyProtection="1">
      <alignment horizontal="center" vertical="center"/>
      <protection/>
    </xf>
    <xf numFmtId="172" fontId="4" fillId="32" borderId="11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33" borderId="14" xfId="0" applyNumberFormat="1" applyFont="1" applyFill="1" applyBorder="1" applyAlignment="1" applyProtection="1">
      <alignment horizontal="center" vertical="center"/>
      <protection/>
    </xf>
    <xf numFmtId="172" fontId="4" fillId="33" borderId="12" xfId="0" applyNumberFormat="1" applyFont="1" applyFill="1" applyBorder="1" applyAlignment="1" applyProtection="1">
      <alignment horizontal="center" vertical="center"/>
      <protection/>
    </xf>
    <xf numFmtId="172" fontId="4" fillId="34" borderId="12" xfId="0" applyNumberFormat="1" applyFont="1" applyFill="1" applyBorder="1" applyAlignment="1" applyProtection="1">
      <alignment horizontal="center" vertical="center"/>
      <protection/>
    </xf>
    <xf numFmtId="174" fontId="4" fillId="34" borderId="12" xfId="0" applyNumberFormat="1" applyFont="1" applyFill="1" applyBorder="1" applyAlignment="1" applyProtection="1">
      <alignment horizontal="center" vertical="center"/>
      <protection/>
    </xf>
    <xf numFmtId="172" fontId="4" fillId="32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left"/>
      <protection/>
    </xf>
    <xf numFmtId="171" fontId="3" fillId="0" borderId="0" xfId="0" applyNumberFormat="1" applyFont="1" applyFill="1" applyAlignment="1" applyProtection="1">
      <alignment/>
      <protection/>
    </xf>
    <xf numFmtId="171" fontId="4" fillId="34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8" fillId="35" borderId="10" xfId="0" applyNumberFormat="1" applyFont="1" applyFill="1" applyBorder="1" applyAlignment="1" applyProtection="1">
      <alignment horizontal="center" vertical="center"/>
      <protection/>
    </xf>
    <xf numFmtId="171" fontId="4" fillId="35" borderId="10" xfId="0" applyNumberFormat="1" applyFont="1" applyFill="1" applyBorder="1" applyAlignment="1" applyProtection="1">
      <alignment horizontal="right" vertical="center"/>
      <protection/>
    </xf>
    <xf numFmtId="171" fontId="4" fillId="35" borderId="10" xfId="0" applyNumberFormat="1" applyFont="1" applyFill="1" applyBorder="1" applyAlignment="1" applyProtection="1">
      <alignment vertical="center"/>
      <protection/>
    </xf>
    <xf numFmtId="171" fontId="4" fillId="35" borderId="0" xfId="0" applyNumberFormat="1" applyFont="1" applyFill="1" applyAlignment="1" applyProtection="1">
      <alignment vertical="center"/>
      <protection/>
    </xf>
    <xf numFmtId="171" fontId="15" fillId="35" borderId="0" xfId="0" applyNumberFormat="1" applyFont="1" applyFill="1" applyAlignment="1" applyProtection="1">
      <alignment vertical="center"/>
      <protection/>
    </xf>
    <xf numFmtId="171" fontId="15" fillId="35" borderId="0" xfId="0" applyNumberFormat="1" applyFont="1" applyFill="1" applyAlignment="1" applyProtection="1">
      <alignment vertical="center"/>
      <protection/>
    </xf>
    <xf numFmtId="171" fontId="5" fillId="35" borderId="18" xfId="0" applyNumberFormat="1" applyFont="1" applyFill="1" applyBorder="1" applyAlignment="1" applyProtection="1">
      <alignment horizontal="left" vertical="center"/>
      <protection/>
    </xf>
    <xf numFmtId="171" fontId="4" fillId="0" borderId="10" xfId="55" applyNumberFormat="1" applyFont="1" applyFill="1" applyBorder="1" applyAlignment="1" applyProtection="1">
      <alignment horizontal="center" vertical="center"/>
      <protection/>
    </xf>
    <xf numFmtId="171" fontId="4" fillId="0" borderId="18" xfId="0" applyNumberFormat="1" applyFont="1" applyFill="1" applyBorder="1" applyAlignment="1" applyProtection="1">
      <alignment horizontal="center" vertical="center" wrapText="1"/>
      <protection/>
    </xf>
    <xf numFmtId="171" fontId="54" fillId="35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34" borderId="0" xfId="0" applyNumberFormat="1" applyFont="1" applyFill="1" applyBorder="1" applyAlignment="1" applyProtection="1">
      <alignment horizontal="center" vertical="center"/>
      <protection/>
    </xf>
    <xf numFmtId="171" fontId="5" fillId="36" borderId="18" xfId="0" applyNumberFormat="1" applyFont="1" applyFill="1" applyBorder="1" applyAlignment="1" applyProtection="1">
      <alignment horizontal="left" vertical="center"/>
      <protection/>
    </xf>
    <xf numFmtId="171" fontId="4" fillId="36" borderId="10" xfId="0" applyNumberFormat="1" applyFont="1" applyFill="1" applyBorder="1" applyAlignment="1" applyProtection="1">
      <alignment horizontal="right" vertical="center"/>
      <protection/>
    </xf>
    <xf numFmtId="171" fontId="4" fillId="36" borderId="10" xfId="0" applyNumberFormat="1" applyFont="1" applyFill="1" applyBorder="1" applyAlignment="1" applyProtection="1">
      <alignment vertical="center"/>
      <protection/>
    </xf>
    <xf numFmtId="171" fontId="54" fillId="36" borderId="10" xfId="0" applyNumberFormat="1" applyFont="1" applyFill="1" applyBorder="1" applyAlignment="1" applyProtection="1">
      <alignment vertical="center"/>
      <protection/>
    </xf>
    <xf numFmtId="171" fontId="4" fillId="36" borderId="15" xfId="0" applyNumberFormat="1" applyFont="1" applyFill="1" applyBorder="1" applyAlignment="1" applyProtection="1">
      <alignment horizontal="center" vertical="center"/>
      <protection/>
    </xf>
    <xf numFmtId="175" fontId="4" fillId="36" borderId="10" xfId="0" applyNumberFormat="1" applyFont="1" applyFill="1" applyBorder="1" applyAlignment="1" applyProtection="1">
      <alignment vertical="center"/>
      <protection/>
    </xf>
    <xf numFmtId="171" fontId="55" fillId="36" borderId="18" xfId="0" applyNumberFormat="1" applyFont="1" applyFill="1" applyBorder="1" applyAlignment="1" applyProtection="1">
      <alignment horizontal="left" vertical="center"/>
      <protection/>
    </xf>
    <xf numFmtId="171" fontId="15" fillId="36" borderId="10" xfId="0" applyNumberFormat="1" applyFont="1" applyFill="1" applyBorder="1" applyAlignment="1" applyProtection="1">
      <alignment vertical="center"/>
      <protection/>
    </xf>
    <xf numFmtId="171" fontId="15" fillId="36" borderId="10" xfId="0" applyNumberFormat="1" applyFont="1" applyFill="1" applyBorder="1" applyAlignment="1" applyProtection="1">
      <alignment horizontal="right" vertical="center"/>
      <protection/>
    </xf>
    <xf numFmtId="171" fontId="54" fillId="36" borderId="10" xfId="0" applyNumberFormat="1" applyFont="1" applyFill="1" applyBorder="1" applyAlignment="1" applyProtection="1">
      <alignment horizontal="right" vertical="center"/>
      <protection/>
    </xf>
    <xf numFmtId="171" fontId="16" fillId="36" borderId="10" xfId="0" applyNumberFormat="1" applyFont="1" applyFill="1" applyBorder="1" applyAlignment="1" applyProtection="1">
      <alignment horizontal="right" vertical="center"/>
      <protection/>
    </xf>
    <xf numFmtId="171" fontId="0" fillId="36" borderId="0" xfId="0" applyNumberFormat="1" applyFont="1" applyFill="1" applyAlignment="1" applyProtection="1">
      <alignment/>
      <protection/>
    </xf>
    <xf numFmtId="1" fontId="56" fillId="36" borderId="15" xfId="0" applyNumberFormat="1" applyFont="1" applyFill="1" applyBorder="1" applyAlignment="1" applyProtection="1">
      <alignment horizontal="center" vertical="center"/>
      <protection/>
    </xf>
    <xf numFmtId="1" fontId="56" fillId="35" borderId="15" xfId="0" applyNumberFormat="1" applyFont="1" applyFill="1" applyBorder="1" applyAlignment="1" applyProtection="1">
      <alignment horizontal="center" vertical="center"/>
      <protection/>
    </xf>
    <xf numFmtId="1" fontId="57" fillId="36" borderId="15" xfId="0" applyNumberFormat="1" applyFont="1" applyFill="1" applyBorder="1" applyAlignment="1" applyProtection="1">
      <alignment horizontal="center" vertical="center"/>
      <protection/>
    </xf>
    <xf numFmtId="1" fontId="56" fillId="0" borderId="15" xfId="0" applyNumberFormat="1" applyFont="1" applyFill="1" applyBorder="1" applyAlignment="1" applyProtection="1">
      <alignment horizontal="center" vertical="center"/>
      <protection/>
    </xf>
    <xf numFmtId="171" fontId="5" fillId="37" borderId="18" xfId="0" applyNumberFormat="1" applyFont="1" applyFill="1" applyBorder="1" applyAlignment="1" applyProtection="1">
      <alignment horizontal="left" vertical="center"/>
      <protection/>
    </xf>
    <xf numFmtId="171" fontId="17" fillId="36" borderId="10" xfId="0" applyNumberFormat="1" applyFont="1" applyFill="1" applyBorder="1" applyAlignment="1" applyProtection="1">
      <alignment horizontal="right" vertical="center"/>
      <protection/>
    </xf>
    <xf numFmtId="171" fontId="4" fillId="36" borderId="15" xfId="0" applyNumberFormat="1" applyFont="1" applyFill="1" applyBorder="1" applyAlignment="1" applyProtection="1">
      <alignment horizontal="right" vertical="center"/>
      <protection/>
    </xf>
    <xf numFmtId="171" fontId="0" fillId="38" borderId="0" xfId="0" applyNumberFormat="1" applyFont="1" applyFill="1" applyAlignment="1" applyProtection="1">
      <alignment/>
      <protection/>
    </xf>
    <xf numFmtId="171" fontId="5" fillId="6" borderId="18" xfId="0" applyNumberFormat="1" applyFont="1" applyFill="1" applyBorder="1" applyAlignment="1" applyProtection="1">
      <alignment horizontal="left" vertical="center"/>
      <protection/>
    </xf>
    <xf numFmtId="171" fontId="5" fillId="6" borderId="13" xfId="0" applyNumberFormat="1" applyFont="1" applyFill="1" applyBorder="1" applyAlignment="1" applyProtection="1">
      <alignment horizontal="left" vertical="center"/>
      <protection/>
    </xf>
    <xf numFmtId="1" fontId="56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6" xfId="0" applyNumberFormat="1" applyFont="1" applyFill="1" applyBorder="1" applyAlignment="1" applyProtection="1">
      <alignment horizontal="center" vertical="center"/>
      <protection/>
    </xf>
    <xf numFmtId="172" fontId="4" fillId="0" borderId="17" xfId="0" applyNumberFormat="1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/>
      <protection/>
    </xf>
    <xf numFmtId="171" fontId="5" fillId="0" borderId="1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_Mapa Geral 2010 - MBS Feira de Santana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1</xdr:col>
      <xdr:colOff>885825</xdr:colOff>
      <xdr:row>4</xdr:row>
      <xdr:rowOff>28575</xdr:rowOff>
    </xdr:to>
    <xdr:pic>
      <xdr:nvPicPr>
        <xdr:cNvPr id="1" name="Picture 5" descr="Logomarca4 - MESA 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29"/>
  <sheetViews>
    <sheetView showGridLines="0" tabSelected="1" zoomScale="20" zoomScaleNormal="20" zoomScaleSheetLayoutView="90" zoomScalePageLayoutView="0" workbookViewId="0" topLeftCell="A34">
      <pane xSplit="2" ySplit="3" topLeftCell="C37" activePane="bottomRight" state="frozen"/>
      <selection pane="topLeft" activeCell="Z91" sqref="Z91"/>
      <selection pane="topRight" activeCell="Z91" sqref="Z91"/>
      <selection pane="bottomLeft" activeCell="Z91" sqref="Z91"/>
      <selection pane="bottomRight" activeCell="BZ127" sqref="A36:BZ127"/>
    </sheetView>
  </sheetViews>
  <sheetFormatPr defaultColWidth="9.140625" defaultRowHeight="16.5" customHeight="1"/>
  <cols>
    <col min="1" max="1" width="3.28125" style="5" customWidth="1"/>
    <col min="2" max="2" width="86.28125" style="6" customWidth="1"/>
    <col min="3" max="3" width="12.8515625" style="6" customWidth="1"/>
    <col min="4" max="28" width="13.8515625" style="6" customWidth="1"/>
    <col min="29" max="61" width="13.421875" style="6" customWidth="1"/>
    <col min="62" max="71" width="13.7109375" style="6" customWidth="1"/>
    <col min="72" max="77" width="14.140625" style="6" customWidth="1"/>
    <col min="78" max="78" width="14.8515625" style="6" customWidth="1"/>
    <col min="79" max="80" width="12.7109375" style="6" customWidth="1"/>
    <col min="81" max="90" width="15.7109375" style="6" customWidth="1"/>
    <col min="91" max="91" width="14.57421875" style="6" customWidth="1"/>
    <col min="92" max="92" width="20.8515625" style="6" customWidth="1"/>
    <col min="93" max="93" width="14.00390625" style="6" bestFit="1" customWidth="1"/>
    <col min="94" max="16384" width="9.140625" style="6" customWidth="1"/>
  </cols>
  <sheetData>
    <row r="1" spans="1:79" ht="16.5" customHeight="1">
      <c r="A1" s="11" t="s">
        <v>52</v>
      </c>
      <c r="CA1" s="70"/>
    </row>
    <row r="3" spans="2:71" s="8" customFormat="1" ht="23.25" customHeight="1">
      <c r="B3" s="15" t="s">
        <v>74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1:71" s="8" customFormat="1" ht="9.75" customHeight="1">
      <c r="A4" s="17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1:71" s="9" customFormat="1" ht="18" customHeight="1">
      <c r="A5" s="18"/>
      <c r="D5" s="12" t="s">
        <v>53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8" customFormat="1" ht="9.75" customHeight="1">
      <c r="A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80" s="8" customFormat="1" ht="17.25" customHeight="1">
      <c r="A7" s="17"/>
      <c r="B7" s="74" t="s">
        <v>10</v>
      </c>
      <c r="C7" s="37" t="s">
        <v>14</v>
      </c>
      <c r="D7" s="37" t="s">
        <v>11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 t="s">
        <v>12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 t="s">
        <v>13</v>
      </c>
      <c r="BU7" s="37"/>
      <c r="BV7" s="37"/>
      <c r="BW7" s="27"/>
      <c r="BX7" s="27"/>
      <c r="BY7" s="27"/>
      <c r="BZ7" s="27"/>
      <c r="CA7" s="27"/>
      <c r="CB7" s="27"/>
    </row>
    <row r="8" spans="1:80" s="8" customFormat="1" ht="17.25" customHeight="1">
      <c r="A8" s="17"/>
      <c r="B8" s="75"/>
      <c r="C8" s="38">
        <v>2012</v>
      </c>
      <c r="D8" s="38">
        <v>2013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>
        <v>2013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>
        <v>2013</v>
      </c>
      <c r="BU8" s="38"/>
      <c r="BV8" s="38"/>
      <c r="BW8" s="49"/>
      <c r="BX8" s="49"/>
      <c r="BY8" s="49"/>
      <c r="BZ8" s="27"/>
      <c r="CA8" s="27"/>
      <c r="CB8" s="27"/>
    </row>
    <row r="9" spans="1:80" s="8" customFormat="1" ht="17.25" customHeight="1">
      <c r="A9" s="17"/>
      <c r="B9" s="26" t="s">
        <v>0</v>
      </c>
      <c r="C9" s="13">
        <v>7601.6</v>
      </c>
      <c r="D9" s="13">
        <v>7925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5627.4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0"/>
      <c r="BX9" s="10"/>
      <c r="BY9" s="10"/>
      <c r="BZ9" s="10"/>
      <c r="CA9" s="10"/>
      <c r="CB9" s="10"/>
    </row>
    <row r="10" spans="1:80" s="8" customFormat="1" ht="17.25" customHeight="1">
      <c r="A10" s="17"/>
      <c r="B10" s="25" t="s">
        <v>55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0"/>
      <c r="BX10" s="10"/>
      <c r="BY10" s="10"/>
      <c r="BZ10" s="10"/>
      <c r="CA10" s="10"/>
      <c r="CB10" s="10"/>
    </row>
    <row r="11" spans="1:80" s="8" customFormat="1" ht="17.25" customHeight="1">
      <c r="A11" s="17"/>
      <c r="B11" s="25" t="s">
        <v>3</v>
      </c>
      <c r="C11" s="13">
        <v>2812.408</v>
      </c>
      <c r="D11" s="13">
        <v>3336.28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890.5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0"/>
      <c r="BX11" s="10"/>
      <c r="BY11" s="10"/>
      <c r="BZ11" s="10"/>
      <c r="CA11" s="10"/>
      <c r="CB11" s="10"/>
    </row>
    <row r="12" spans="1:80" s="8" customFormat="1" ht="17.25" customHeight="1">
      <c r="A12" s="17"/>
      <c r="B12" s="25" t="s">
        <v>4</v>
      </c>
      <c r="C12" s="13"/>
      <c r="D12" s="13">
        <v>96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>
        <v>27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0"/>
      <c r="BX12" s="10"/>
      <c r="BY12" s="10"/>
      <c r="BZ12" s="10"/>
      <c r="CA12" s="10"/>
      <c r="CB12" s="10"/>
    </row>
    <row r="13" spans="1:80" s="8" customFormat="1" ht="17.25" customHeight="1">
      <c r="A13" s="17"/>
      <c r="B13" s="25" t="s">
        <v>63</v>
      </c>
      <c r="C13" s="13">
        <v>1646.022</v>
      </c>
      <c r="D13" s="13">
        <v>733.538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>
        <v>702.619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0"/>
      <c r="BX13" s="10"/>
      <c r="BY13" s="10"/>
      <c r="BZ13" s="10"/>
      <c r="CA13" s="10"/>
      <c r="CB13" s="10"/>
    </row>
    <row r="14" spans="1:80" s="8" customFormat="1" ht="17.25" customHeight="1">
      <c r="A14" s="17"/>
      <c r="B14" s="25" t="s">
        <v>15</v>
      </c>
      <c r="C14" s="13">
        <v>847.965</v>
      </c>
      <c r="D14" s="13">
        <v>14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25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0"/>
      <c r="BX14" s="10"/>
      <c r="BY14" s="10"/>
      <c r="BZ14" s="10"/>
      <c r="CA14" s="10"/>
      <c r="CB14" s="10"/>
    </row>
    <row r="15" spans="1:80" s="8" customFormat="1" ht="17.25" customHeight="1">
      <c r="A15" s="17"/>
      <c r="B15" s="25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0"/>
      <c r="BX15" s="10"/>
      <c r="BY15" s="10"/>
      <c r="BZ15" s="10"/>
      <c r="CA15" s="10"/>
      <c r="CB15" s="10"/>
    </row>
    <row r="16" spans="1:80" s="8" customFormat="1" ht="17.25" customHeight="1">
      <c r="A16" s="17"/>
      <c r="B16" s="25" t="s">
        <v>73</v>
      </c>
      <c r="C16" s="13">
        <v>50.1</v>
      </c>
      <c r="D16" s="13">
        <v>23.5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0"/>
      <c r="BX16" s="10"/>
      <c r="BY16" s="10"/>
      <c r="BZ16" s="10"/>
      <c r="CA16" s="10"/>
      <c r="CB16" s="10"/>
    </row>
    <row r="17" spans="1:80" s="8" customFormat="1" ht="17.25" customHeight="1">
      <c r="A17" s="17"/>
      <c r="B17" s="25" t="s">
        <v>2</v>
      </c>
      <c r="C17" s="13">
        <v>10140.48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0"/>
      <c r="BX17" s="10"/>
      <c r="BY17" s="10"/>
      <c r="BZ17" s="10"/>
      <c r="CA17" s="10"/>
      <c r="CB17" s="10"/>
    </row>
    <row r="18" spans="1:80" s="8" customFormat="1" ht="17.25" customHeight="1">
      <c r="A18" s="17"/>
      <c r="B18" s="25" t="s">
        <v>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0"/>
      <c r="BX18" s="10"/>
      <c r="BY18" s="10"/>
      <c r="BZ18" s="10"/>
      <c r="CA18" s="10"/>
      <c r="CB18" s="10"/>
    </row>
    <row r="19" spans="1:80" s="8" customFormat="1" ht="17.25" customHeight="1">
      <c r="A19" s="17"/>
      <c r="B19" s="25" t="s">
        <v>61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0"/>
      <c r="BX19" s="10"/>
      <c r="BY19" s="10"/>
      <c r="BZ19" s="10"/>
      <c r="CA19" s="10"/>
      <c r="CB19" s="10"/>
    </row>
    <row r="20" spans="1:80" s="8" customFormat="1" ht="17.25" customHeight="1">
      <c r="A20" s="17"/>
      <c r="B20" s="25" t="s">
        <v>77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0"/>
      <c r="BX20" s="10"/>
      <c r="BY20" s="10"/>
      <c r="BZ20" s="10"/>
      <c r="CA20" s="10"/>
      <c r="CB20" s="10"/>
    </row>
    <row r="21" spans="1:80" s="8" customFormat="1" ht="17.25" customHeight="1">
      <c r="A21" s="17"/>
      <c r="B21" s="25" t="s">
        <v>62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0"/>
      <c r="BX21" s="10"/>
      <c r="BY21" s="10"/>
      <c r="BZ21" s="10"/>
      <c r="CA21" s="10"/>
      <c r="CB21" s="10"/>
    </row>
    <row r="22" spans="1:80" s="8" customFormat="1" ht="17.25" customHeight="1">
      <c r="A22" s="17"/>
      <c r="B22" s="25" t="s">
        <v>58</v>
      </c>
      <c r="C22" s="13"/>
      <c r="D22" s="13">
        <v>2510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0"/>
      <c r="BX22" s="10"/>
      <c r="BY22" s="10"/>
      <c r="BZ22" s="10"/>
      <c r="CA22" s="10"/>
      <c r="CB22" s="10"/>
    </row>
    <row r="23" spans="1:80" s="8" customFormat="1" ht="17.25" customHeight="1">
      <c r="A23" s="17"/>
      <c r="B23" s="25" t="s">
        <v>64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0"/>
      <c r="BX23" s="10"/>
      <c r="BY23" s="10"/>
      <c r="BZ23" s="10"/>
      <c r="CA23" s="10"/>
      <c r="CB23" s="10"/>
    </row>
    <row r="24" spans="1:80" s="8" customFormat="1" ht="17.25" customHeight="1">
      <c r="A24" s="17"/>
      <c r="B24" s="25" t="s">
        <v>16</v>
      </c>
      <c r="C24" s="13"/>
      <c r="D24" s="13">
        <v>239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>
        <v>1141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0"/>
      <c r="BX24" s="10"/>
      <c r="BY24" s="10"/>
      <c r="BZ24" s="10"/>
      <c r="CA24" s="10"/>
      <c r="CB24" s="10"/>
    </row>
    <row r="25" spans="1:80" s="8" customFormat="1" ht="17.25" customHeight="1">
      <c r="A25" s="17"/>
      <c r="B25" s="29" t="s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0"/>
      <c r="BX25" s="10"/>
      <c r="BY25" s="10"/>
      <c r="BZ25" s="10"/>
      <c r="CA25" s="10"/>
      <c r="CB25" s="10"/>
    </row>
    <row r="26" spans="1:80" s="8" customFormat="1" ht="17.25" customHeight="1">
      <c r="A26" s="17"/>
      <c r="B26" s="29" t="s">
        <v>5</v>
      </c>
      <c r="C26" s="13"/>
      <c r="D26" s="13">
        <v>281.1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0"/>
      <c r="BX26" s="10"/>
      <c r="BY26" s="10"/>
      <c r="BZ26" s="10"/>
      <c r="CA26" s="10"/>
      <c r="CB26" s="10"/>
    </row>
    <row r="27" spans="1:80" s="8" customFormat="1" ht="17.25" customHeight="1" thickBot="1">
      <c r="A27" s="17"/>
      <c r="B27" s="29" t="s">
        <v>6</v>
      </c>
      <c r="C27" s="13">
        <v>99.9</v>
      </c>
      <c r="D27" s="13">
        <v>431.27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>
        <v>812.92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0"/>
      <c r="BX27" s="10"/>
      <c r="BY27" s="10"/>
      <c r="BZ27" s="10"/>
      <c r="CA27" s="10"/>
      <c r="CB27" s="10"/>
    </row>
    <row r="28" spans="1:80" s="8" customFormat="1" ht="17.25" customHeight="1" thickBot="1">
      <c r="A28" s="17"/>
      <c r="B28" s="20" t="s">
        <v>9</v>
      </c>
      <c r="C28" s="21">
        <f>SUM(C9:C27)</f>
        <v>23198.475</v>
      </c>
      <c r="D28" s="21">
        <f>SUM(D9:D27)</f>
        <v>15589.688000000002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f>SUM(AC9:AC27)</f>
        <v>9226.439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>
        <f>SUM(BT9:BT27)</f>
        <v>0</v>
      </c>
      <c r="BU28" s="21"/>
      <c r="BV28" s="21"/>
      <c r="BW28" s="10"/>
      <c r="BX28" s="10"/>
      <c r="BY28" s="10"/>
      <c r="BZ28" s="10"/>
      <c r="CA28" s="10"/>
      <c r="CB28" s="10"/>
    </row>
    <row r="29" spans="1:80" s="8" customFormat="1" ht="6" customHeight="1" thickBot="1">
      <c r="A29" s="17"/>
      <c r="B29" s="2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8" customFormat="1" ht="17.25" customHeight="1" thickBot="1">
      <c r="A30" s="17"/>
      <c r="B30" s="33" t="s">
        <v>17</v>
      </c>
      <c r="C30" s="21">
        <f>SUM(C9:C24)</f>
        <v>23098.574999999997</v>
      </c>
      <c r="D30" s="21">
        <f>SUM(D9:D24)</f>
        <v>14877.318000000001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>
        <f>SUM(AC9:AC24)</f>
        <v>8413.519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>
        <f>SUM(BT9:BT24)</f>
        <v>0</v>
      </c>
      <c r="BU30" s="21"/>
      <c r="BV30" s="21"/>
      <c r="BW30" s="10"/>
      <c r="BX30" s="10"/>
      <c r="BY30" s="10"/>
      <c r="BZ30" s="10"/>
      <c r="CA30" s="10"/>
      <c r="CB30" s="10"/>
    </row>
    <row r="31" spans="1:80" s="8" customFormat="1" ht="17.25" customHeight="1" thickBot="1">
      <c r="A31" s="17"/>
      <c r="B31" s="33" t="s">
        <v>18</v>
      </c>
      <c r="C31" s="21">
        <f>C30</f>
        <v>23098.574999999997</v>
      </c>
      <c r="D31" s="21">
        <f>D30</f>
        <v>14877.318000000001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f>AC30</f>
        <v>8413.519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>
        <f>BT30</f>
        <v>0</v>
      </c>
      <c r="BU31" s="21"/>
      <c r="BV31" s="21"/>
      <c r="BW31" s="10"/>
      <c r="BX31" s="10"/>
      <c r="BY31" s="10"/>
      <c r="BZ31" s="10"/>
      <c r="CA31" s="10"/>
      <c r="CB31" s="10"/>
    </row>
    <row r="32" spans="1:80" s="8" customFormat="1" ht="17.25" customHeight="1" thickBot="1">
      <c r="A32" s="17"/>
      <c r="B32" s="30" t="s">
        <v>19</v>
      </c>
      <c r="C32" s="21">
        <f>SUM(C25:C27)</f>
        <v>99.9</v>
      </c>
      <c r="D32" s="21">
        <f>SUM(D25:D27)</f>
        <v>712.37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f>SUM(AC25:AC27)</f>
        <v>812.92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>
        <f>SUM(BT25:BT27)</f>
        <v>0</v>
      </c>
      <c r="BU32" s="21"/>
      <c r="BV32" s="21"/>
      <c r="BW32" s="10"/>
      <c r="BX32" s="10"/>
      <c r="BY32" s="10"/>
      <c r="BZ32" s="10"/>
      <c r="CA32" s="10"/>
      <c r="CB32" s="10"/>
    </row>
    <row r="33" spans="1:80" s="8" customFormat="1" ht="17.25" customHeight="1" thickBot="1">
      <c r="A33" s="17"/>
      <c r="B33" s="31" t="s">
        <v>20</v>
      </c>
      <c r="C33" s="32">
        <v>384916</v>
      </c>
      <c r="D33" s="32">
        <v>244340.4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138892.08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50"/>
      <c r="BX33" s="50"/>
      <c r="BY33" s="50"/>
      <c r="BZ33" s="28"/>
      <c r="CA33" s="28"/>
      <c r="CB33" s="28"/>
    </row>
    <row r="34" spans="1:78" s="8" customFormat="1" ht="15" customHeight="1">
      <c r="A34" s="5"/>
      <c r="C34" s="8" t="s">
        <v>82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Z34" s="8" t="s">
        <v>171</v>
      </c>
    </row>
    <row r="35" spans="1:71" s="8" customFormat="1" ht="7.5" customHeight="1">
      <c r="A35" s="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</row>
    <row r="36" spans="1:78" s="14" customFormat="1" ht="27.75" customHeight="1">
      <c r="A36" s="39">
        <v>1</v>
      </c>
      <c r="B36" s="47" t="s">
        <v>21</v>
      </c>
      <c r="C36" s="36" t="s">
        <v>22</v>
      </c>
      <c r="D36" s="24" t="s">
        <v>3</v>
      </c>
      <c r="E36" s="24" t="s">
        <v>97</v>
      </c>
      <c r="F36" s="24" t="s">
        <v>93</v>
      </c>
      <c r="G36" s="24" t="s">
        <v>107</v>
      </c>
      <c r="H36" s="24" t="s">
        <v>117</v>
      </c>
      <c r="I36" s="24" t="s">
        <v>175</v>
      </c>
      <c r="J36" s="24" t="s">
        <v>195</v>
      </c>
      <c r="K36" s="24" t="s">
        <v>91</v>
      </c>
      <c r="L36" s="24" t="s">
        <v>153</v>
      </c>
      <c r="M36" s="24" t="s">
        <v>152</v>
      </c>
      <c r="N36" s="24" t="s">
        <v>147</v>
      </c>
      <c r="O36" s="24" t="s">
        <v>158</v>
      </c>
      <c r="P36" s="24" t="s">
        <v>156</v>
      </c>
      <c r="Q36" s="24" t="s">
        <v>151</v>
      </c>
      <c r="R36" s="24" t="s">
        <v>149</v>
      </c>
      <c r="S36" s="24" t="s">
        <v>148</v>
      </c>
      <c r="T36" s="24" t="s">
        <v>121</v>
      </c>
      <c r="U36" s="24" t="s">
        <v>190</v>
      </c>
      <c r="V36" s="24" t="s">
        <v>182</v>
      </c>
      <c r="W36" s="24" t="s">
        <v>162</v>
      </c>
      <c r="X36" s="24" t="s">
        <v>161</v>
      </c>
      <c r="Y36" s="24" t="s">
        <v>102</v>
      </c>
      <c r="Z36" s="24" t="s">
        <v>143</v>
      </c>
      <c r="AA36" s="24" t="s">
        <v>118</v>
      </c>
      <c r="AB36" s="24" t="s">
        <v>194</v>
      </c>
      <c r="AC36" s="24" t="s">
        <v>0</v>
      </c>
      <c r="AD36" s="24" t="s">
        <v>1</v>
      </c>
      <c r="AE36" s="24" t="s">
        <v>165</v>
      </c>
      <c r="AF36" s="24" t="s">
        <v>183</v>
      </c>
      <c r="AG36" s="24" t="s">
        <v>160</v>
      </c>
      <c r="AH36" s="24" t="s">
        <v>159</v>
      </c>
      <c r="AI36" s="24" t="s">
        <v>155</v>
      </c>
      <c r="AJ36" s="24" t="s">
        <v>154</v>
      </c>
      <c r="AK36" s="24" t="s">
        <v>187</v>
      </c>
      <c r="AL36" s="24" t="s">
        <v>186</v>
      </c>
      <c r="AM36" s="24" t="s">
        <v>127</v>
      </c>
      <c r="AN36" s="24" t="s">
        <v>79</v>
      </c>
      <c r="AO36" s="24" t="s">
        <v>116</v>
      </c>
      <c r="AP36" s="24" t="s">
        <v>166</v>
      </c>
      <c r="AQ36" s="24" t="s">
        <v>164</v>
      </c>
      <c r="AR36" s="24" t="s">
        <v>172</v>
      </c>
      <c r="AS36" s="24" t="s">
        <v>196</v>
      </c>
      <c r="AT36" s="24" t="s">
        <v>138</v>
      </c>
      <c r="AU36" s="24" t="s">
        <v>170</v>
      </c>
      <c r="AV36" s="24" t="s">
        <v>178</v>
      </c>
      <c r="AW36" s="24" t="s">
        <v>189</v>
      </c>
      <c r="AX36" s="24" t="s">
        <v>173</v>
      </c>
      <c r="AY36" s="24" t="s">
        <v>176</v>
      </c>
      <c r="AZ36" s="24" t="s">
        <v>169</v>
      </c>
      <c r="BA36" s="24" t="s">
        <v>168</v>
      </c>
      <c r="BB36" s="24" t="s">
        <v>177</v>
      </c>
      <c r="BC36" s="24" t="s">
        <v>167</v>
      </c>
      <c r="BD36" s="24" t="s">
        <v>185</v>
      </c>
      <c r="BE36" s="24" t="s">
        <v>146</v>
      </c>
      <c r="BF36" s="24" t="s">
        <v>145</v>
      </c>
      <c r="BG36" s="24" t="s">
        <v>144</v>
      </c>
      <c r="BH36" s="24" t="s">
        <v>174</v>
      </c>
      <c r="BI36" s="24" t="s">
        <v>141</v>
      </c>
      <c r="BJ36" s="24" t="s">
        <v>115</v>
      </c>
      <c r="BK36" s="24" t="s">
        <v>192</v>
      </c>
      <c r="BL36" s="24" t="s">
        <v>193</v>
      </c>
      <c r="BM36" s="24" t="s">
        <v>133</v>
      </c>
      <c r="BN36" s="24" t="s">
        <v>139</v>
      </c>
      <c r="BO36" s="24" t="s">
        <v>188</v>
      </c>
      <c r="BP36" s="24" t="s">
        <v>100</v>
      </c>
      <c r="BQ36" s="24" t="s">
        <v>126</v>
      </c>
      <c r="BR36" s="24" t="s">
        <v>61</v>
      </c>
      <c r="BS36" s="24" t="s">
        <v>108</v>
      </c>
      <c r="BT36" s="24" t="s">
        <v>191</v>
      </c>
      <c r="BU36" s="24" t="s">
        <v>140</v>
      </c>
      <c r="BV36" s="24" t="s">
        <v>92</v>
      </c>
      <c r="BW36" s="24" t="s">
        <v>124</v>
      </c>
      <c r="BX36" s="24" t="s">
        <v>123</v>
      </c>
      <c r="BY36" s="24" t="s">
        <v>132</v>
      </c>
      <c r="BZ36" s="24" t="s">
        <v>23</v>
      </c>
    </row>
    <row r="37" spans="1:78" s="42" customFormat="1" ht="15" customHeight="1">
      <c r="A37" s="39">
        <v>2</v>
      </c>
      <c r="B37" s="57" t="s">
        <v>24</v>
      </c>
      <c r="C37" s="63">
        <v>280</v>
      </c>
      <c r="D37" s="61">
        <f>22.151+201.141+136.604+121.832+54.5+14.212+18.514+110.446+118.634+107.713</f>
        <v>905.7470000000001</v>
      </c>
      <c r="E37" s="61">
        <f>17.5</f>
        <v>17.5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52">
        <f>0.5</f>
        <v>0.5</v>
      </c>
      <c r="U37" s="52"/>
      <c r="V37" s="52"/>
      <c r="W37" s="52"/>
      <c r="X37" s="52"/>
      <c r="Y37" s="52"/>
      <c r="Z37" s="52">
        <f>0.3</f>
        <v>0.3</v>
      </c>
      <c r="AA37" s="52"/>
      <c r="AB37" s="52"/>
      <c r="AC37" s="52">
        <f>158.637+136+71+97+68.228</f>
        <v>530.865</v>
      </c>
      <c r="AD37" s="52">
        <f>60</f>
        <v>60</v>
      </c>
      <c r="AE37" s="61"/>
      <c r="AF37" s="52"/>
      <c r="AG37" s="52"/>
      <c r="AH37" s="52"/>
      <c r="AI37" s="52"/>
      <c r="AJ37" s="52"/>
      <c r="AK37" s="52"/>
      <c r="AL37" s="52"/>
      <c r="AM37" s="52">
        <f>110</f>
        <v>110</v>
      </c>
      <c r="AN37" s="52">
        <f>47.7+43.6+25.1+140.5+29+103.55</f>
        <v>389.45</v>
      </c>
      <c r="AO37" s="52"/>
      <c r="AP37" s="52"/>
      <c r="AQ37" s="52">
        <f>141</f>
        <v>141</v>
      </c>
      <c r="AR37" s="52">
        <f>48</f>
        <v>48</v>
      </c>
      <c r="AS37" s="52"/>
      <c r="AT37" s="52">
        <f>14.4</f>
        <v>14.4</v>
      </c>
      <c r="AU37" s="52"/>
      <c r="AV37" s="52"/>
      <c r="AW37" s="52"/>
      <c r="AX37" s="52">
        <f>212.524</f>
        <v>212.524</v>
      </c>
      <c r="AY37" s="52">
        <f>71</f>
        <v>71</v>
      </c>
      <c r="AZ37" s="52">
        <f>75+39.152</f>
        <v>114.152</v>
      </c>
      <c r="BA37" s="52">
        <f>76+70+20</f>
        <v>166</v>
      </c>
      <c r="BB37" s="52"/>
      <c r="BC37" s="52">
        <f>94</f>
        <v>94</v>
      </c>
      <c r="BD37" s="52"/>
      <c r="BE37" s="52"/>
      <c r="BF37" s="52"/>
      <c r="BG37" s="52"/>
      <c r="BH37" s="52">
        <f>26.8</f>
        <v>26.8</v>
      </c>
      <c r="BI37" s="52"/>
      <c r="BJ37" s="53">
        <f>21+118</f>
        <v>139</v>
      </c>
      <c r="BK37" s="53"/>
      <c r="BL37" s="53"/>
      <c r="BM37" s="53"/>
      <c r="BN37" s="53"/>
      <c r="BO37" s="53"/>
      <c r="BP37" s="53">
        <f>14.4+120.2+49.02+81.744+21.6+38.08+83.16</f>
        <v>408.20400000000006</v>
      </c>
      <c r="BQ37" s="53">
        <f>184.38+80+156+49+117.3+65</f>
        <v>651.68</v>
      </c>
      <c r="BR37" s="53"/>
      <c r="BS37" s="53"/>
      <c r="BT37" s="53"/>
      <c r="BU37" s="53">
        <v>73</v>
      </c>
      <c r="BV37" s="53"/>
      <c r="BW37" s="53"/>
      <c r="BX37" s="53">
        <f>0.5</f>
        <v>0.5</v>
      </c>
      <c r="BY37" s="53">
        <f>24</f>
        <v>24</v>
      </c>
      <c r="BZ37" s="54">
        <f aca="true" t="shared" si="0" ref="BZ37:BZ68">SUM(D37:BY37)</f>
        <v>4198.622</v>
      </c>
    </row>
    <row r="38" spans="1:78" s="3" customFormat="1" ht="15" customHeight="1">
      <c r="A38" s="39">
        <v>3</v>
      </c>
      <c r="B38" s="57" t="s">
        <v>25</v>
      </c>
      <c r="C38" s="63">
        <v>25</v>
      </c>
      <c r="D38" s="52">
        <f>19.215+72.333+85.928+47+59.266+65.659+40.5+21.598+15+51.61+74.974+45.43</f>
        <v>598.513</v>
      </c>
      <c r="E38" s="52"/>
      <c r="F38" s="52"/>
      <c r="G38" s="52"/>
      <c r="H38" s="52"/>
      <c r="I38" s="52"/>
      <c r="J38" s="52">
        <v>0.5</v>
      </c>
      <c r="K38" s="52"/>
      <c r="L38" s="52"/>
      <c r="M38" s="52"/>
      <c r="N38" s="52"/>
      <c r="O38" s="52"/>
      <c r="P38" s="52"/>
      <c r="Q38" s="52"/>
      <c r="R38" s="52"/>
      <c r="S38" s="52"/>
      <c r="T38" s="52">
        <f>14.6+54.9+72.9</f>
        <v>142.4</v>
      </c>
      <c r="U38" s="52"/>
      <c r="V38" s="52"/>
      <c r="W38" s="52"/>
      <c r="X38" s="52"/>
      <c r="Y38" s="52"/>
      <c r="Z38" s="52"/>
      <c r="AA38" s="52"/>
      <c r="AB38" s="52"/>
      <c r="AC38" s="52">
        <f>71.3+244.78+189.1+41+89</f>
        <v>635.18</v>
      </c>
      <c r="AD38" s="52">
        <f>30</f>
        <v>30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>
        <f>18.6+18.9+49.484+41.7+61+70.75+68.5</f>
        <v>328.934</v>
      </c>
      <c r="AO38" s="52"/>
      <c r="AP38" s="52"/>
      <c r="AQ38" s="52">
        <f>99</f>
        <v>99</v>
      </c>
      <c r="AR38" s="52"/>
      <c r="AS38" s="52"/>
      <c r="AT38" s="52">
        <f>14.4</f>
        <v>14.4</v>
      </c>
      <c r="AU38" s="52"/>
      <c r="AV38" s="52"/>
      <c r="AW38" s="52"/>
      <c r="AX38" s="52"/>
      <c r="AY38" s="52">
        <f>2.4</f>
        <v>2.4</v>
      </c>
      <c r="AZ38" s="52">
        <f>75+43.152</f>
        <v>118.152</v>
      </c>
      <c r="BA38" s="52">
        <f>40+70+20</f>
        <v>130</v>
      </c>
      <c r="BB38" s="52"/>
      <c r="BC38" s="52">
        <f>140</f>
        <v>140</v>
      </c>
      <c r="BD38" s="52"/>
      <c r="BE38" s="52"/>
      <c r="BF38" s="52"/>
      <c r="BG38" s="52"/>
      <c r="BH38" s="52">
        <f>39.2</f>
        <v>39.2</v>
      </c>
      <c r="BI38" s="52"/>
      <c r="BJ38" s="53">
        <f>16+114</f>
        <v>130</v>
      </c>
      <c r="BK38" s="53"/>
      <c r="BL38" s="53"/>
      <c r="BM38" s="53">
        <f>2.8+35</f>
        <v>37.8</v>
      </c>
      <c r="BN38" s="53"/>
      <c r="BO38" s="53"/>
      <c r="BP38" s="53">
        <f>14.4+78.8+43.62+64.209+77.776+5.4+38.08+118.74</f>
        <v>441.025</v>
      </c>
      <c r="BQ38" s="53">
        <f>93</f>
        <v>93</v>
      </c>
      <c r="BR38" s="53">
        <v>16.2</v>
      </c>
      <c r="BS38" s="53"/>
      <c r="BT38" s="53"/>
      <c r="BU38" s="53">
        <f>103</f>
        <v>103</v>
      </c>
      <c r="BV38" s="53">
        <f>0.3</f>
        <v>0.3</v>
      </c>
      <c r="BW38" s="53"/>
      <c r="BX38" s="53"/>
      <c r="BY38" s="53">
        <f>24</f>
        <v>24</v>
      </c>
      <c r="BZ38" s="54">
        <f t="shared" si="0"/>
        <v>3124.0040000000004</v>
      </c>
    </row>
    <row r="39" spans="1:78" s="44" customFormat="1" ht="15" customHeight="1">
      <c r="A39" s="39">
        <v>4</v>
      </c>
      <c r="B39" s="57" t="s">
        <v>26</v>
      </c>
      <c r="C39" s="64">
        <v>54</v>
      </c>
      <c r="D39" s="59">
        <f>54.337+69.288+104.577+53.5+45.934+49.036+12+20.718+26.8+17.821+30+122.532</f>
        <v>606.543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f>22+18+0.2</f>
        <v>40.2</v>
      </c>
      <c r="U39" s="59"/>
      <c r="V39" s="59"/>
      <c r="W39" s="59"/>
      <c r="X39" s="59"/>
      <c r="Y39" s="59"/>
      <c r="Z39" s="59"/>
      <c r="AA39" s="59"/>
      <c r="AB39" s="59"/>
      <c r="AC39" s="59">
        <f>61+274.166+48+131+55</f>
        <v>569.1659999999999</v>
      </c>
      <c r="AD39" s="59">
        <f>30</f>
        <v>30</v>
      </c>
      <c r="AE39" s="59"/>
      <c r="AF39" s="59"/>
      <c r="AG39" s="59"/>
      <c r="AH39" s="59"/>
      <c r="AI39" s="59"/>
      <c r="AJ39" s="59"/>
      <c r="AK39" s="59"/>
      <c r="AL39" s="59"/>
      <c r="AM39" s="59"/>
      <c r="AN39" s="59">
        <f>62.1+87.15+17+12+60+74.2+68.527</f>
        <v>380.977</v>
      </c>
      <c r="AO39" s="59"/>
      <c r="AP39" s="59"/>
      <c r="AQ39" s="59">
        <f>106</f>
        <v>106</v>
      </c>
      <c r="AR39" s="59">
        <f>48+50</f>
        <v>98</v>
      </c>
      <c r="AS39" s="59"/>
      <c r="AT39" s="59">
        <f>14.4</f>
        <v>14.4</v>
      </c>
      <c r="AU39" s="59"/>
      <c r="AV39" s="59"/>
      <c r="AW39" s="59"/>
      <c r="AX39" s="59">
        <f>59</f>
        <v>59</v>
      </c>
      <c r="AY39" s="59"/>
      <c r="AZ39" s="59">
        <f>75+43.152</f>
        <v>118.152</v>
      </c>
      <c r="BA39" s="59">
        <f>40+70+20</f>
        <v>130</v>
      </c>
      <c r="BB39" s="59"/>
      <c r="BC39" s="59">
        <f>140</f>
        <v>140</v>
      </c>
      <c r="BD39" s="59"/>
      <c r="BE39" s="59"/>
      <c r="BF39" s="59"/>
      <c r="BG39" s="59"/>
      <c r="BH39" s="59">
        <v>55.2</v>
      </c>
      <c r="BI39" s="59">
        <f>32</f>
        <v>32</v>
      </c>
      <c r="BJ39" s="58">
        <f>9+143.4</f>
        <v>152.4</v>
      </c>
      <c r="BK39" s="58"/>
      <c r="BL39" s="58"/>
      <c r="BM39" s="58"/>
      <c r="BN39" s="58"/>
      <c r="BO39" s="58"/>
      <c r="BP39" s="58">
        <f>21.6+86+43.62+71.56+10.8+38.08+138.72</f>
        <v>410.38</v>
      </c>
      <c r="BQ39" s="58">
        <f>87+75+82+49+125</f>
        <v>418</v>
      </c>
      <c r="BR39" s="58"/>
      <c r="BS39" s="58"/>
      <c r="BT39" s="58"/>
      <c r="BU39" s="58">
        <v>73</v>
      </c>
      <c r="BV39" s="58">
        <f>0.3</f>
        <v>0.3</v>
      </c>
      <c r="BW39" s="58"/>
      <c r="BX39" s="58"/>
      <c r="BY39" s="58">
        <f>24</f>
        <v>24</v>
      </c>
      <c r="BZ39" s="54">
        <f t="shared" si="0"/>
        <v>3457.7180000000003</v>
      </c>
    </row>
    <row r="40" spans="1:78" s="42" customFormat="1" ht="15" customHeight="1">
      <c r="A40" s="39">
        <v>5</v>
      </c>
      <c r="B40" s="57" t="s">
        <v>27</v>
      </c>
      <c r="C40" s="63">
        <v>1600</v>
      </c>
      <c r="D40" s="52">
        <f>30.756+62.074</f>
        <v>92.83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>
        <f>11</f>
        <v>11</v>
      </c>
      <c r="U40" s="52"/>
      <c r="V40" s="52"/>
      <c r="W40" s="52"/>
      <c r="X40" s="52"/>
      <c r="Y40" s="52"/>
      <c r="Z40" s="52"/>
      <c r="AA40" s="52"/>
      <c r="AB40" s="52"/>
      <c r="AC40" s="52">
        <f>158+91.4+26</f>
        <v>275.4</v>
      </c>
      <c r="AD40" s="52">
        <f>300</f>
        <v>300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>
        <f>95.5</f>
        <v>95.5</v>
      </c>
      <c r="AO40" s="52"/>
      <c r="AP40" s="52"/>
      <c r="AQ40" s="52">
        <f>194</f>
        <v>194</v>
      </c>
      <c r="AR40" s="52"/>
      <c r="AS40" s="52"/>
      <c r="AT40" s="52">
        <f>57.6</f>
        <v>57.6</v>
      </c>
      <c r="AU40" s="52"/>
      <c r="AV40" s="52"/>
      <c r="AW40" s="52"/>
      <c r="AX40" s="52"/>
      <c r="AY40" s="52"/>
      <c r="AZ40" s="52">
        <f>120+77.304</f>
        <v>197.304</v>
      </c>
      <c r="BA40" s="52">
        <f>100+70</f>
        <v>170</v>
      </c>
      <c r="BB40" s="52"/>
      <c r="BC40" s="52">
        <f>270</f>
        <v>270</v>
      </c>
      <c r="BD40" s="52"/>
      <c r="BE40" s="52"/>
      <c r="BF40" s="52"/>
      <c r="BG40" s="52"/>
      <c r="BH40" s="52">
        <f>72</f>
        <v>72</v>
      </c>
      <c r="BI40" s="52"/>
      <c r="BJ40" s="53">
        <f>91.1</f>
        <v>91.1</v>
      </c>
      <c r="BK40" s="53"/>
      <c r="BL40" s="53"/>
      <c r="BM40" s="53"/>
      <c r="BN40" s="53"/>
      <c r="BO40" s="53"/>
      <c r="BP40" s="53">
        <f>72+196.6+106.68+339.8+37.8+190.4+628.8</f>
        <v>1572.08</v>
      </c>
      <c r="BQ40" s="53">
        <f>122</f>
        <v>122</v>
      </c>
      <c r="BR40" s="53"/>
      <c r="BS40" s="53"/>
      <c r="BT40" s="53"/>
      <c r="BU40" s="53"/>
      <c r="BV40" s="53">
        <f>0.3</f>
        <v>0.3</v>
      </c>
      <c r="BW40" s="53"/>
      <c r="BX40" s="53"/>
      <c r="BY40" s="53">
        <f>24</f>
        <v>24</v>
      </c>
      <c r="BZ40" s="54">
        <f t="shared" si="0"/>
        <v>3545.114</v>
      </c>
    </row>
    <row r="41" spans="1:78" s="42" customFormat="1" ht="15" customHeight="1">
      <c r="A41" s="39">
        <v>6</v>
      </c>
      <c r="B41" s="57" t="s">
        <v>131</v>
      </c>
      <c r="C41" s="63">
        <v>1472</v>
      </c>
      <c r="D41" s="52">
        <f>33.296+26.789</f>
        <v>60.085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f>330.01+46+44.302</f>
        <v>420.312</v>
      </c>
      <c r="AD41" s="52">
        <f>300</f>
        <v>300</v>
      </c>
      <c r="AE41" s="52"/>
      <c r="AF41" s="52"/>
      <c r="AG41" s="52"/>
      <c r="AH41" s="52"/>
      <c r="AI41" s="52"/>
      <c r="AJ41" s="52"/>
      <c r="AK41" s="52"/>
      <c r="AL41" s="52"/>
      <c r="AM41" s="52">
        <f>170</f>
        <v>170</v>
      </c>
      <c r="AN41" s="52"/>
      <c r="AO41" s="52"/>
      <c r="AP41" s="52"/>
      <c r="AQ41" s="52">
        <f>86</f>
        <v>86</v>
      </c>
      <c r="AR41" s="52"/>
      <c r="AS41" s="52"/>
      <c r="AT41" s="52">
        <f>57.6</f>
        <v>57.6</v>
      </c>
      <c r="AU41" s="52"/>
      <c r="AV41" s="52"/>
      <c r="AW41" s="52"/>
      <c r="AX41" s="52"/>
      <c r="AY41" s="52"/>
      <c r="AZ41" s="52">
        <f>120+40.152</f>
        <v>160.152</v>
      </c>
      <c r="BA41" s="52">
        <f>100+70</f>
        <v>170</v>
      </c>
      <c r="BB41" s="52"/>
      <c r="BC41" s="52">
        <f>270</f>
        <v>270</v>
      </c>
      <c r="BD41" s="52"/>
      <c r="BE41" s="52"/>
      <c r="BF41" s="52"/>
      <c r="BG41" s="52"/>
      <c r="BH41" s="52">
        <f>43.2</f>
        <v>43.2</v>
      </c>
      <c r="BI41" s="52"/>
      <c r="BJ41" s="53"/>
      <c r="BK41" s="53"/>
      <c r="BL41" s="53"/>
      <c r="BM41" s="53"/>
      <c r="BN41" s="53"/>
      <c r="BO41" s="53"/>
      <c r="BP41" s="53">
        <f>108+187.8+89.4+118.131+325.8+119+588.3</f>
        <v>1536.431</v>
      </c>
      <c r="BQ41" s="53">
        <f>51+127</f>
        <v>178</v>
      </c>
      <c r="BR41" s="53"/>
      <c r="BS41" s="53"/>
      <c r="BT41" s="53"/>
      <c r="BU41" s="53"/>
      <c r="BV41" s="53"/>
      <c r="BW41" s="53"/>
      <c r="BX41" s="53"/>
      <c r="BY41" s="53">
        <f>24</f>
        <v>24</v>
      </c>
      <c r="BZ41" s="54">
        <f t="shared" si="0"/>
        <v>3475.7799999999997</v>
      </c>
    </row>
    <row r="42" spans="1:78" s="43" customFormat="1" ht="15" customHeight="1">
      <c r="A42" s="39">
        <v>7</v>
      </c>
      <c r="B42" s="57" t="s">
        <v>28</v>
      </c>
      <c r="C42" s="63">
        <v>1040</v>
      </c>
      <c r="D42" s="59">
        <f>40.5+35+30.572</f>
        <v>106.072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>
        <f>136.8</f>
        <v>136.8</v>
      </c>
      <c r="U42" s="59"/>
      <c r="V42" s="59"/>
      <c r="W42" s="59"/>
      <c r="X42" s="59"/>
      <c r="Y42" s="59"/>
      <c r="Z42" s="59"/>
      <c r="AA42" s="59"/>
      <c r="AB42" s="59"/>
      <c r="AC42" s="59">
        <f>146+27.5</f>
        <v>173.5</v>
      </c>
      <c r="AD42" s="59">
        <f>240</f>
        <v>240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>
        <f>49.7+89.2+30+27</f>
        <v>195.9</v>
      </c>
      <c r="AO42" s="59"/>
      <c r="AP42" s="59"/>
      <c r="AQ42" s="59">
        <f>195</f>
        <v>195</v>
      </c>
      <c r="AR42" s="59"/>
      <c r="AS42" s="59"/>
      <c r="AT42" s="59">
        <f>28.8</f>
        <v>28.8</v>
      </c>
      <c r="AU42" s="59"/>
      <c r="AV42" s="59"/>
      <c r="AW42" s="59"/>
      <c r="AX42" s="59"/>
      <c r="AY42" s="59"/>
      <c r="AZ42" s="59">
        <f>120+156.304</f>
        <v>276.304</v>
      </c>
      <c r="BA42" s="59">
        <f>100+80</f>
        <v>180</v>
      </c>
      <c r="BB42" s="59"/>
      <c r="BC42" s="59">
        <f>270</f>
        <v>270</v>
      </c>
      <c r="BD42" s="59"/>
      <c r="BE42" s="59"/>
      <c r="BF42" s="59"/>
      <c r="BG42" s="59"/>
      <c r="BH42" s="59">
        <f>68</f>
        <v>68</v>
      </c>
      <c r="BI42" s="59"/>
      <c r="BJ42" s="58"/>
      <c r="BK42" s="58"/>
      <c r="BL42" s="58"/>
      <c r="BM42" s="58"/>
      <c r="BN42" s="58"/>
      <c r="BO42" s="58"/>
      <c r="BP42" s="58">
        <f>86.4+160.8+106.68+274.797+351.89+27+139.52+448.8</f>
        <v>1595.887</v>
      </c>
      <c r="BQ42" s="58">
        <f>76+339+416.4</f>
        <v>831.4</v>
      </c>
      <c r="BR42" s="58">
        <f>388.8</f>
        <v>388.8</v>
      </c>
      <c r="BS42" s="58"/>
      <c r="BT42" s="58"/>
      <c r="BU42" s="58"/>
      <c r="BV42" s="58">
        <f>35.83</f>
        <v>35.83</v>
      </c>
      <c r="BW42" s="58"/>
      <c r="BX42" s="58"/>
      <c r="BY42" s="58">
        <f>24</f>
        <v>24</v>
      </c>
      <c r="BZ42" s="54">
        <f t="shared" si="0"/>
        <v>4746.293</v>
      </c>
    </row>
    <row r="43" spans="1:78" s="42" customFormat="1" ht="15" customHeight="1">
      <c r="A43" s="39">
        <v>8</v>
      </c>
      <c r="B43" s="57" t="s">
        <v>101</v>
      </c>
      <c r="C43" s="63">
        <v>460</v>
      </c>
      <c r="D43" s="52">
        <f>32.205+43.5+28.873+27.455+14.5</f>
        <v>146.53300000000002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f>116+7.33</f>
        <v>123.33</v>
      </c>
      <c r="U43" s="52"/>
      <c r="V43" s="52"/>
      <c r="W43" s="52"/>
      <c r="X43" s="52"/>
      <c r="Y43" s="52"/>
      <c r="Z43" s="52"/>
      <c r="AA43" s="52"/>
      <c r="AB43" s="52"/>
      <c r="AC43" s="52">
        <f>62+26</f>
        <v>88</v>
      </c>
      <c r="AD43" s="52">
        <f>120</f>
        <v>120</v>
      </c>
      <c r="AE43" s="52"/>
      <c r="AF43" s="52"/>
      <c r="AG43" s="52"/>
      <c r="AH43" s="52"/>
      <c r="AI43" s="52"/>
      <c r="AJ43" s="52"/>
      <c r="AK43" s="52"/>
      <c r="AL43" s="52"/>
      <c r="AM43" s="52">
        <f>120</f>
        <v>120</v>
      </c>
      <c r="AN43" s="52"/>
      <c r="AO43" s="52"/>
      <c r="AP43" s="52"/>
      <c r="AQ43" s="52"/>
      <c r="AR43" s="52"/>
      <c r="AS43" s="52"/>
      <c r="AT43" s="52">
        <f>28.8</f>
        <v>28.8</v>
      </c>
      <c r="AU43" s="52"/>
      <c r="AV43" s="52"/>
      <c r="AW43" s="52"/>
      <c r="AX43" s="52"/>
      <c r="AY43" s="52"/>
      <c r="AZ43" s="52">
        <f>120+40.152</f>
        <v>160.152</v>
      </c>
      <c r="BA43" s="52">
        <f>320+10</f>
        <v>330</v>
      </c>
      <c r="BB43" s="52"/>
      <c r="BC43" s="52"/>
      <c r="BD43" s="52"/>
      <c r="BE43" s="52"/>
      <c r="BF43" s="52"/>
      <c r="BG43" s="52"/>
      <c r="BH43" s="52">
        <f>14.4</f>
        <v>14.4</v>
      </c>
      <c r="BI43" s="52"/>
      <c r="BJ43" s="53"/>
      <c r="BK43" s="53"/>
      <c r="BL43" s="53"/>
      <c r="BM43" s="53"/>
      <c r="BN43" s="53"/>
      <c r="BO43" s="53"/>
      <c r="BP43" s="53">
        <f>43.2+197.2+71.76+103.096+83.865+16.2+57.12+236.4</f>
        <v>808.841</v>
      </c>
      <c r="BQ43" s="53">
        <f>348</f>
        <v>348</v>
      </c>
      <c r="BR43" s="53">
        <f>216</f>
        <v>216</v>
      </c>
      <c r="BS43" s="53"/>
      <c r="BT43" s="53"/>
      <c r="BU43" s="53"/>
      <c r="BV43" s="53"/>
      <c r="BW43" s="53"/>
      <c r="BX43" s="53"/>
      <c r="BY43" s="53">
        <f>24</f>
        <v>24</v>
      </c>
      <c r="BZ43" s="54">
        <f t="shared" si="0"/>
        <v>2528.056</v>
      </c>
    </row>
    <row r="44" spans="1:78" s="42" customFormat="1" ht="15" customHeight="1">
      <c r="A44" s="39">
        <v>9</v>
      </c>
      <c r="B44" s="57" t="s">
        <v>122</v>
      </c>
      <c r="C44" s="63">
        <v>30</v>
      </c>
      <c r="D44" s="52"/>
      <c r="E44" s="52"/>
      <c r="F44" s="52"/>
      <c r="G44" s="52"/>
      <c r="H44" s="52"/>
      <c r="I44" s="52"/>
      <c r="J44" s="52">
        <f>64</f>
        <v>64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>
        <f>1+97</f>
        <v>98</v>
      </c>
      <c r="BU44" s="53"/>
      <c r="BV44" s="53"/>
      <c r="BW44" s="53"/>
      <c r="BX44" s="53"/>
      <c r="BY44" s="53"/>
      <c r="BZ44" s="54">
        <f t="shared" si="0"/>
        <v>162</v>
      </c>
    </row>
    <row r="45" spans="1:78" s="42" customFormat="1" ht="15" customHeight="1">
      <c r="A45" s="39">
        <v>10</v>
      </c>
      <c r="B45" s="57" t="s">
        <v>54</v>
      </c>
      <c r="C45" s="64">
        <v>460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>
        <f>450</f>
        <v>450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>
        <f>100</f>
        <v>100</v>
      </c>
      <c r="BA45" s="40">
        <f>300</f>
        <v>300</v>
      </c>
      <c r="BB45" s="40"/>
      <c r="BC45" s="40"/>
      <c r="BD45" s="40"/>
      <c r="BE45" s="40"/>
      <c r="BF45" s="40"/>
      <c r="BG45" s="40"/>
      <c r="BH45" s="40">
        <f>54</f>
        <v>54</v>
      </c>
      <c r="BI45" s="40"/>
      <c r="BJ45" s="41"/>
      <c r="BK45" s="41"/>
      <c r="BL45" s="41"/>
      <c r="BM45" s="41"/>
      <c r="BN45" s="41"/>
      <c r="BO45" s="41"/>
      <c r="BP45" s="41">
        <f>180+162+185.94+133.28+781.68</f>
        <v>1442.9</v>
      </c>
      <c r="BQ45" s="41"/>
      <c r="BR45" s="41"/>
      <c r="BS45" s="41"/>
      <c r="BT45" s="41"/>
      <c r="BU45" s="41"/>
      <c r="BV45" s="41"/>
      <c r="BW45" s="41"/>
      <c r="BX45" s="41"/>
      <c r="BY45" s="41">
        <f>36</f>
        <v>36</v>
      </c>
      <c r="BZ45" s="54">
        <f t="shared" si="0"/>
        <v>2382.9</v>
      </c>
    </row>
    <row r="46" spans="1:78" s="3" customFormat="1" ht="15" customHeight="1">
      <c r="A46" s="39">
        <v>11</v>
      </c>
      <c r="B46" s="57" t="s">
        <v>70</v>
      </c>
      <c r="C46" s="63">
        <v>600</v>
      </c>
      <c r="D46" s="52">
        <f>24.426+43.334+38.668+17.734</f>
        <v>124.162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f>12.922</f>
        <v>12.922</v>
      </c>
      <c r="U46" s="52"/>
      <c r="V46" s="52"/>
      <c r="W46" s="52"/>
      <c r="X46" s="52"/>
      <c r="Y46" s="52"/>
      <c r="Z46" s="52"/>
      <c r="AA46" s="52"/>
      <c r="AB46" s="52"/>
      <c r="AC46" s="52">
        <f>68+121.5+10+15.8</f>
        <v>215.3</v>
      </c>
      <c r="AD46" s="52">
        <f>300</f>
        <v>300</v>
      </c>
      <c r="AE46" s="52"/>
      <c r="AF46" s="52"/>
      <c r="AG46" s="52"/>
      <c r="AH46" s="52"/>
      <c r="AI46" s="52"/>
      <c r="AJ46" s="52"/>
      <c r="AK46" s="52"/>
      <c r="AL46" s="52"/>
      <c r="AM46" s="52">
        <f>140</f>
        <v>140</v>
      </c>
      <c r="AN46" s="52">
        <f>24</f>
        <v>24</v>
      </c>
      <c r="AO46" s="52"/>
      <c r="AP46" s="52"/>
      <c r="AQ46" s="52">
        <f>191</f>
        <v>191</v>
      </c>
      <c r="AR46" s="52"/>
      <c r="AS46" s="52"/>
      <c r="AT46" s="52">
        <f>48</f>
        <v>48</v>
      </c>
      <c r="AU46" s="52"/>
      <c r="AV46" s="52"/>
      <c r="AW46" s="52"/>
      <c r="AX46" s="52"/>
      <c r="AY46" s="52"/>
      <c r="AZ46" s="52">
        <f>180+156.304</f>
        <v>336.304</v>
      </c>
      <c r="BA46" s="52">
        <f>300+90+20</f>
        <v>410</v>
      </c>
      <c r="BB46" s="52"/>
      <c r="BC46" s="52">
        <f>150</f>
        <v>150</v>
      </c>
      <c r="BD46" s="52"/>
      <c r="BE46" s="52"/>
      <c r="BF46" s="52"/>
      <c r="BG46" s="52"/>
      <c r="BH46" s="52">
        <f>18</f>
        <v>18</v>
      </c>
      <c r="BI46" s="52"/>
      <c r="BJ46" s="53"/>
      <c r="BK46" s="53"/>
      <c r="BL46" s="53"/>
      <c r="BM46" s="53"/>
      <c r="BN46" s="53"/>
      <c r="BO46" s="53"/>
      <c r="BP46" s="53">
        <f>57.6+164.8+93.36+230.586+282.4+27+57.12+349.8</f>
        <v>1262.666</v>
      </c>
      <c r="BQ46" s="53">
        <f>138</f>
        <v>138</v>
      </c>
      <c r="BR46" s="53">
        <f>286.2</f>
        <v>286.2</v>
      </c>
      <c r="BS46" s="53"/>
      <c r="BT46" s="53"/>
      <c r="BU46" s="53"/>
      <c r="BV46" s="53"/>
      <c r="BW46" s="53"/>
      <c r="BX46" s="53"/>
      <c r="BY46" s="53">
        <f>24</f>
        <v>24</v>
      </c>
      <c r="BZ46" s="54">
        <f t="shared" si="0"/>
        <v>3680.554</v>
      </c>
    </row>
    <row r="47" spans="1:78" s="3" customFormat="1" ht="15" customHeight="1">
      <c r="A47" s="39">
        <v>12</v>
      </c>
      <c r="B47" s="51" t="s">
        <v>129</v>
      </c>
      <c r="C47" s="63">
        <v>2400</v>
      </c>
      <c r="D47" s="59">
        <f>96.193+69.5+43.927+100.966+28</f>
        <v>338.58599999999996</v>
      </c>
      <c r="E47" s="59">
        <f>3.51+7.5</f>
        <v>11.01</v>
      </c>
      <c r="F47" s="59"/>
      <c r="G47" s="59"/>
      <c r="H47" s="59"/>
      <c r="I47" s="59"/>
      <c r="J47" s="59"/>
      <c r="K47" s="59"/>
      <c r="L47" s="59">
        <f>0.51</f>
        <v>0.51</v>
      </c>
      <c r="M47" s="59">
        <f>40.835</f>
        <v>40.835</v>
      </c>
      <c r="N47" s="59"/>
      <c r="O47" s="59"/>
      <c r="P47" s="59"/>
      <c r="Q47" s="59"/>
      <c r="R47" s="59"/>
      <c r="S47" s="59"/>
      <c r="T47" s="59">
        <f>25</f>
        <v>25</v>
      </c>
      <c r="U47" s="59"/>
      <c r="V47" s="59"/>
      <c r="W47" s="59"/>
      <c r="X47" s="59"/>
      <c r="Y47" s="59"/>
      <c r="Z47" s="59"/>
      <c r="AA47" s="59"/>
      <c r="AB47" s="59"/>
      <c r="AC47" s="59">
        <f>214.5+56.215+42.099</f>
        <v>312.814</v>
      </c>
      <c r="AD47" s="59">
        <f>600</f>
        <v>600</v>
      </c>
      <c r="AE47" s="59"/>
      <c r="AF47" s="59"/>
      <c r="AG47" s="59"/>
      <c r="AH47" s="59"/>
      <c r="AI47" s="59"/>
      <c r="AJ47" s="59"/>
      <c r="AK47" s="59"/>
      <c r="AL47" s="59"/>
      <c r="AM47" s="59">
        <f>400</f>
        <v>400</v>
      </c>
      <c r="AN47" s="59">
        <f>11+50+22</f>
        <v>83</v>
      </c>
      <c r="AO47" s="59"/>
      <c r="AP47" s="59"/>
      <c r="AQ47" s="59">
        <f>271</f>
        <v>271</v>
      </c>
      <c r="AR47" s="59"/>
      <c r="AS47" s="59"/>
      <c r="AT47" s="59">
        <f>144</f>
        <v>144</v>
      </c>
      <c r="AU47" s="59"/>
      <c r="AV47" s="59"/>
      <c r="AW47" s="59"/>
      <c r="AX47" s="59"/>
      <c r="AY47" s="59"/>
      <c r="AZ47" s="59">
        <f>180+19.152</f>
        <v>199.152</v>
      </c>
      <c r="BA47" s="59">
        <f>500+90</f>
        <v>590</v>
      </c>
      <c r="BB47" s="59"/>
      <c r="BC47" s="59"/>
      <c r="BD47" s="59"/>
      <c r="BE47" s="59"/>
      <c r="BF47" s="59"/>
      <c r="BG47" s="59"/>
      <c r="BH47" s="59">
        <f>72</f>
        <v>72</v>
      </c>
      <c r="BI47" s="59"/>
      <c r="BJ47" s="58"/>
      <c r="BK47" s="58"/>
      <c r="BL47" s="58"/>
      <c r="BM47" s="58"/>
      <c r="BN47" s="58"/>
      <c r="BO47" s="58"/>
      <c r="BP47" s="58">
        <f>144+223.6+123+226.744+527.152+27+142.8+777.3</f>
        <v>2191.596</v>
      </c>
      <c r="BQ47" s="58">
        <f>102</f>
        <v>102</v>
      </c>
      <c r="BR47" s="58">
        <f>378</f>
        <v>378</v>
      </c>
      <c r="BS47" s="58"/>
      <c r="BT47" s="58"/>
      <c r="BU47" s="58"/>
      <c r="BV47" s="58"/>
      <c r="BW47" s="58"/>
      <c r="BX47" s="58"/>
      <c r="BY47" s="58">
        <f>65</f>
        <v>65</v>
      </c>
      <c r="BZ47" s="54">
        <f t="shared" si="0"/>
        <v>5824.503000000001</v>
      </c>
    </row>
    <row r="48" spans="1:78" s="42" customFormat="1" ht="15" customHeight="1">
      <c r="A48" s="39">
        <v>13</v>
      </c>
      <c r="B48" s="57" t="s">
        <v>29</v>
      </c>
      <c r="C48" s="63">
        <v>620</v>
      </c>
      <c r="D48" s="52">
        <f>56.983+30.5+32.184+17.5</f>
        <v>137.167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>
        <f>62+18+30</f>
        <v>110</v>
      </c>
      <c r="AD48" s="52">
        <f>150</f>
        <v>150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>
        <f>24</f>
        <v>24</v>
      </c>
      <c r="AU48" s="52"/>
      <c r="AV48" s="52"/>
      <c r="AW48" s="52"/>
      <c r="AX48" s="52"/>
      <c r="AY48" s="52"/>
      <c r="AZ48" s="52">
        <f>29.152</f>
        <v>29.152</v>
      </c>
      <c r="BA48" s="52">
        <f>40</f>
        <v>40</v>
      </c>
      <c r="BB48" s="52"/>
      <c r="BC48" s="52"/>
      <c r="BD48" s="52"/>
      <c r="BE48" s="52"/>
      <c r="BF48" s="52"/>
      <c r="BG48" s="52"/>
      <c r="BH48" s="52">
        <f>18</f>
        <v>18</v>
      </c>
      <c r="BI48" s="52"/>
      <c r="BJ48" s="53"/>
      <c r="BK48" s="53"/>
      <c r="BL48" s="53"/>
      <c r="BM48" s="53"/>
      <c r="BN48" s="53"/>
      <c r="BO48" s="53"/>
      <c r="BP48" s="53">
        <f>89.2+71.76+75.467+71.04+57.12+301.2</f>
        <v>665.787</v>
      </c>
      <c r="BQ48" s="53"/>
      <c r="BR48" s="53">
        <f>248.4</f>
        <v>248.4</v>
      </c>
      <c r="BS48" s="53"/>
      <c r="BT48" s="53"/>
      <c r="BU48" s="53"/>
      <c r="BV48" s="53"/>
      <c r="BW48" s="53"/>
      <c r="BX48" s="53"/>
      <c r="BY48" s="53">
        <f>29</f>
        <v>29</v>
      </c>
      <c r="BZ48" s="54">
        <f t="shared" si="0"/>
        <v>1451.506</v>
      </c>
    </row>
    <row r="49" spans="1:78" s="42" customFormat="1" ht="15" customHeight="1">
      <c r="A49" s="39">
        <v>14</v>
      </c>
      <c r="B49" s="51" t="s">
        <v>99</v>
      </c>
      <c r="C49" s="64">
        <v>30</v>
      </c>
      <c r="D49" s="40"/>
      <c r="E49" s="40"/>
      <c r="F49" s="40"/>
      <c r="G49" s="40"/>
      <c r="H49" s="40"/>
      <c r="I49" s="40"/>
      <c r="J49" s="40">
        <f>86</f>
        <v>86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>
        <f>16+64+84</f>
        <v>164</v>
      </c>
      <c r="BU49" s="41"/>
      <c r="BV49" s="41"/>
      <c r="BW49" s="41"/>
      <c r="BX49" s="41"/>
      <c r="BY49" s="41"/>
      <c r="BZ49" s="54">
        <f t="shared" si="0"/>
        <v>250</v>
      </c>
    </row>
    <row r="50" spans="1:78" s="42" customFormat="1" ht="15" customHeight="1">
      <c r="A50" s="39">
        <v>15</v>
      </c>
      <c r="B50" s="51" t="s">
        <v>76</v>
      </c>
      <c r="C50" s="63">
        <v>40</v>
      </c>
      <c r="D50" s="52">
        <f>21.666+15+214.484+71.5+145.078+27.5+100.596+31.508+83.5+83.08+70+138.751+159.677+108.93</f>
        <v>1271.27</v>
      </c>
      <c r="E50" s="52"/>
      <c r="F50" s="52"/>
      <c r="G50" s="52"/>
      <c r="H50" s="52"/>
      <c r="I50" s="52"/>
      <c r="J50" s="52">
        <v>0.5</v>
      </c>
      <c r="K50" s="52">
        <f>15</f>
        <v>15</v>
      </c>
      <c r="L50" s="52"/>
      <c r="M50" s="52"/>
      <c r="N50" s="52"/>
      <c r="O50" s="52"/>
      <c r="P50" s="52"/>
      <c r="Q50" s="52"/>
      <c r="R50" s="52"/>
      <c r="S50" s="52"/>
      <c r="T50" s="52">
        <f>72.2+9</f>
        <v>81.2</v>
      </c>
      <c r="U50" s="52"/>
      <c r="V50" s="52"/>
      <c r="W50" s="52"/>
      <c r="X50" s="52"/>
      <c r="Y50" s="52"/>
      <c r="Z50" s="52">
        <f>0.3</f>
        <v>0.3</v>
      </c>
      <c r="AA50" s="52"/>
      <c r="AB50" s="52"/>
      <c r="AC50" s="52">
        <f>54.5+454.46+55+116+21</f>
        <v>700.96</v>
      </c>
      <c r="AD50" s="52">
        <f>30</f>
        <v>30</v>
      </c>
      <c r="AE50" s="52"/>
      <c r="AF50" s="52"/>
      <c r="AG50" s="52"/>
      <c r="AH50" s="52"/>
      <c r="AI50" s="52"/>
      <c r="AJ50" s="52"/>
      <c r="AK50" s="52"/>
      <c r="AL50" s="52"/>
      <c r="AM50" s="52">
        <f>80</f>
        <v>80</v>
      </c>
      <c r="AN50" s="52">
        <f>108.4+4.5+84.5+58.8+51.5+207.4</f>
        <v>515.1</v>
      </c>
      <c r="AO50" s="52"/>
      <c r="AP50" s="52"/>
      <c r="AQ50" s="52">
        <f>106</f>
        <v>106</v>
      </c>
      <c r="AR50" s="52"/>
      <c r="AS50" s="52"/>
      <c r="AT50" s="52">
        <f>AT38</f>
        <v>14.4</v>
      </c>
      <c r="AU50" s="52"/>
      <c r="AV50" s="52"/>
      <c r="AW50" s="52"/>
      <c r="AX50" s="52"/>
      <c r="AY50" s="52">
        <f>13</f>
        <v>13</v>
      </c>
      <c r="AZ50" s="52">
        <f>75+19.152</f>
        <v>94.152</v>
      </c>
      <c r="BA50" s="52">
        <f>10+10+20</f>
        <v>40</v>
      </c>
      <c r="BB50" s="52"/>
      <c r="BC50" s="52">
        <f>100</f>
        <v>100</v>
      </c>
      <c r="BD50" s="52"/>
      <c r="BE50" s="52"/>
      <c r="BF50" s="52"/>
      <c r="BG50" s="52"/>
      <c r="BH50" s="52">
        <f>39.2</f>
        <v>39.2</v>
      </c>
      <c r="BI50" s="52"/>
      <c r="BJ50" s="53">
        <f>16.5+114.4</f>
        <v>130.9</v>
      </c>
      <c r="BK50" s="53"/>
      <c r="BL50" s="53"/>
      <c r="BM50" s="53"/>
      <c r="BN50" s="53"/>
      <c r="BO50" s="53"/>
      <c r="BP50" s="53">
        <f>14.4+78.8+38.58+55.028+39.136+7.8+44.32+106.32</f>
        <v>384.384</v>
      </c>
      <c r="BQ50" s="53">
        <f>87+54</f>
        <v>141</v>
      </c>
      <c r="BR50" s="53">
        <f>21.6</f>
        <v>21.6</v>
      </c>
      <c r="BS50" s="53"/>
      <c r="BT50" s="53"/>
      <c r="BU50" s="53">
        <f>103+24</f>
        <v>127</v>
      </c>
      <c r="BV50" s="53"/>
      <c r="BW50" s="53"/>
      <c r="BX50" s="53"/>
      <c r="BY50" s="53">
        <f>24</f>
        <v>24</v>
      </c>
      <c r="BZ50" s="54">
        <f t="shared" si="0"/>
        <v>3929.966</v>
      </c>
    </row>
    <row r="51" spans="1:78" s="42" customFormat="1" ht="15" customHeight="1">
      <c r="A51" s="39">
        <v>16</v>
      </c>
      <c r="B51" s="51" t="s">
        <v>113</v>
      </c>
      <c r="C51" s="64">
        <v>320</v>
      </c>
      <c r="D51" s="52">
        <f>50+69.5+27.131+56.018+22.5</f>
        <v>225.149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>
        <f>10.2</f>
        <v>10.2</v>
      </c>
      <c r="U51" s="52"/>
      <c r="V51" s="52"/>
      <c r="W51" s="52"/>
      <c r="X51" s="52"/>
      <c r="Y51" s="52"/>
      <c r="Z51" s="52">
        <v>0.3</v>
      </c>
      <c r="AA51" s="52"/>
      <c r="AB51" s="52"/>
      <c r="AC51" s="52">
        <f>97+97.58+23.404</f>
        <v>217.98399999999998</v>
      </c>
      <c r="AD51" s="52">
        <f>120</f>
        <v>120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2">
        <f>10+11.5</f>
        <v>21.5</v>
      </c>
      <c r="AO51" s="52"/>
      <c r="AP51" s="52"/>
      <c r="AQ51" s="52">
        <f>122</f>
        <v>122</v>
      </c>
      <c r="AR51" s="52"/>
      <c r="AS51" s="52"/>
      <c r="AT51" s="52">
        <f>28.8</f>
        <v>28.8</v>
      </c>
      <c r="AU51" s="52"/>
      <c r="AV51" s="52"/>
      <c r="AW51" s="52"/>
      <c r="AX51" s="52"/>
      <c r="AY51" s="52"/>
      <c r="AZ51" s="52">
        <f>105+19.152</f>
        <v>124.152</v>
      </c>
      <c r="BA51" s="52">
        <f>240+40</f>
        <v>280</v>
      </c>
      <c r="BB51" s="52"/>
      <c r="BC51" s="52"/>
      <c r="BD51" s="52"/>
      <c r="BE51" s="52"/>
      <c r="BF51" s="52"/>
      <c r="BG51" s="52"/>
      <c r="BH51" s="52">
        <f>10.8</f>
        <v>10.8</v>
      </c>
      <c r="BI51" s="52"/>
      <c r="BJ51" s="53"/>
      <c r="BK51" s="53"/>
      <c r="BL51" s="53"/>
      <c r="BM51" s="53"/>
      <c r="BN51" s="53"/>
      <c r="BO51" s="53"/>
      <c r="BP51" s="53">
        <f>36+125.6+78.96+76.992+123.824+16.2+47.6+204</f>
        <v>709.176</v>
      </c>
      <c r="BQ51" s="53">
        <f>50+81</f>
        <v>131</v>
      </c>
      <c r="BR51" s="53">
        <f>86.4</f>
        <v>86.4</v>
      </c>
      <c r="BS51" s="53"/>
      <c r="BT51" s="53"/>
      <c r="BU51" s="53"/>
      <c r="BV51" s="53"/>
      <c r="BW51" s="53"/>
      <c r="BX51" s="53"/>
      <c r="BY51" s="53">
        <f>36</f>
        <v>36</v>
      </c>
      <c r="BZ51" s="54">
        <f t="shared" si="0"/>
        <v>2123.4610000000002</v>
      </c>
    </row>
    <row r="52" spans="1:78" s="43" customFormat="1" ht="15" customHeight="1">
      <c r="A52" s="39">
        <v>17</v>
      </c>
      <c r="B52" s="51" t="s">
        <v>30</v>
      </c>
      <c r="C52" s="63">
        <v>45</v>
      </c>
      <c r="D52" s="59">
        <f>18.325</f>
        <v>18.325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>
        <f>62</f>
        <v>62</v>
      </c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>
        <f>14.4</f>
        <v>14.4</v>
      </c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8"/>
      <c r="BK52" s="58"/>
      <c r="BL52" s="58"/>
      <c r="BM52" s="58"/>
      <c r="BN52" s="58"/>
      <c r="BO52" s="58"/>
      <c r="BP52" s="58">
        <f>98.6</f>
        <v>98.6</v>
      </c>
      <c r="BQ52" s="58"/>
      <c r="BR52" s="58"/>
      <c r="BS52" s="58"/>
      <c r="BT52" s="58"/>
      <c r="BU52" s="58"/>
      <c r="BV52" s="58"/>
      <c r="BW52" s="58"/>
      <c r="BX52" s="58"/>
      <c r="BY52" s="58">
        <f>24</f>
        <v>24</v>
      </c>
      <c r="BZ52" s="54">
        <f t="shared" si="0"/>
        <v>217.325</v>
      </c>
    </row>
    <row r="53" spans="1:78" s="43" customFormat="1" ht="15" customHeight="1">
      <c r="A53" s="39">
        <v>18</v>
      </c>
      <c r="B53" s="57" t="s">
        <v>31</v>
      </c>
      <c r="C53" s="63">
        <v>144</v>
      </c>
      <c r="D53" s="59">
        <f>18.587+19.238+41.268+51.066+19.5+53.872+30.748+48.685+99.789</f>
        <v>382.753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>
        <f>2.8</f>
        <v>2.8</v>
      </c>
      <c r="U53" s="59"/>
      <c r="V53" s="59"/>
      <c r="W53" s="59"/>
      <c r="X53" s="59"/>
      <c r="Y53" s="59"/>
      <c r="Z53" s="59"/>
      <c r="AA53" s="59"/>
      <c r="AB53" s="59"/>
      <c r="AC53" s="59">
        <f>120.5+80.3+57+103+37.25</f>
        <v>398.05</v>
      </c>
      <c r="AD53" s="59">
        <f>60</f>
        <v>60</v>
      </c>
      <c r="AE53" s="59"/>
      <c r="AF53" s="59"/>
      <c r="AG53" s="59"/>
      <c r="AH53" s="59"/>
      <c r="AI53" s="59"/>
      <c r="AJ53" s="59"/>
      <c r="AK53" s="59"/>
      <c r="AL53" s="59">
        <f>18.5</f>
        <v>18.5</v>
      </c>
      <c r="AM53" s="59"/>
      <c r="AN53" s="59">
        <f>42.95+5.5+57.81</f>
        <v>106.26</v>
      </c>
      <c r="AO53" s="59"/>
      <c r="AP53" s="59"/>
      <c r="AQ53" s="59">
        <f>102</f>
        <v>102</v>
      </c>
      <c r="AR53" s="59">
        <f>46</f>
        <v>46</v>
      </c>
      <c r="AS53" s="59"/>
      <c r="AT53" s="59">
        <f>24</f>
        <v>24</v>
      </c>
      <c r="AU53" s="59"/>
      <c r="AV53" s="59"/>
      <c r="AW53" s="59"/>
      <c r="AX53" s="59">
        <f>168.187</f>
        <v>168.187</v>
      </c>
      <c r="AY53" s="59">
        <f>51</f>
        <v>51</v>
      </c>
      <c r="AZ53" s="59">
        <f>75+19.152</f>
        <v>94.152</v>
      </c>
      <c r="BA53" s="59">
        <f>40+40+20</f>
        <v>100</v>
      </c>
      <c r="BB53" s="59"/>
      <c r="BC53" s="59">
        <f>140</f>
        <v>140</v>
      </c>
      <c r="BD53" s="59"/>
      <c r="BE53" s="59"/>
      <c r="BF53" s="59"/>
      <c r="BG53" s="59"/>
      <c r="BH53" s="59">
        <f>7.2</f>
        <v>7.2</v>
      </c>
      <c r="BI53" s="59"/>
      <c r="BJ53" s="58">
        <f>21.4+122</f>
        <v>143.4</v>
      </c>
      <c r="BK53" s="58"/>
      <c r="BL53" s="58"/>
      <c r="BM53" s="58">
        <f>34+2.6</f>
        <v>36.6</v>
      </c>
      <c r="BN53" s="58"/>
      <c r="BO53" s="58"/>
      <c r="BP53" s="58">
        <f>14.4+78.8+54.12+21.204+49.936+10.8+38.08+123</f>
        <v>390.34000000000003</v>
      </c>
      <c r="BQ53" s="58">
        <f>170.38+80+50+46+104.2+51</f>
        <v>501.58</v>
      </c>
      <c r="BR53" s="58">
        <f>21.6</f>
        <v>21.6</v>
      </c>
      <c r="BS53" s="58"/>
      <c r="BT53" s="58"/>
      <c r="BU53" s="58"/>
      <c r="BV53" s="58"/>
      <c r="BW53" s="58"/>
      <c r="BX53" s="58"/>
      <c r="BY53" s="58">
        <f>24</f>
        <v>24</v>
      </c>
      <c r="BZ53" s="54">
        <f t="shared" si="0"/>
        <v>2818.422</v>
      </c>
    </row>
    <row r="54" spans="1:78" s="42" customFormat="1" ht="15" customHeight="1">
      <c r="A54" s="39">
        <v>19</v>
      </c>
      <c r="B54" s="51" t="s">
        <v>65</v>
      </c>
      <c r="C54" s="63">
        <v>1184</v>
      </c>
      <c r="D54" s="52">
        <f>75.59+46+45.608+163.417+82.5+59.813+79.622+7.136+124.5+19.732+143.467</f>
        <v>847.3849999999999</v>
      </c>
      <c r="E54" s="52">
        <f>9.5</f>
        <v>9.5</v>
      </c>
      <c r="F54" s="52"/>
      <c r="G54" s="52"/>
      <c r="H54" s="52"/>
      <c r="I54" s="52"/>
      <c r="J54" s="52">
        <f>0.5</f>
        <v>0.5</v>
      </c>
      <c r="K54" s="52"/>
      <c r="L54" s="52"/>
      <c r="M54" s="52"/>
      <c r="N54" s="52"/>
      <c r="O54" s="52"/>
      <c r="P54" s="52"/>
      <c r="Q54" s="52"/>
      <c r="R54" s="52"/>
      <c r="S54" s="52"/>
      <c r="T54" s="52">
        <f>16+33.8+31</f>
        <v>80.8</v>
      </c>
      <c r="U54" s="52"/>
      <c r="V54" s="52"/>
      <c r="W54" s="52"/>
      <c r="X54" s="52"/>
      <c r="Y54" s="52"/>
      <c r="Z54" s="52">
        <f>22.5</f>
        <v>22.5</v>
      </c>
      <c r="AA54" s="52"/>
      <c r="AB54" s="52"/>
      <c r="AC54" s="52">
        <f>131.5+226.89+93+290.614+32.299</f>
        <v>774.3029999999999</v>
      </c>
      <c r="AD54" s="52">
        <f>120</f>
        <v>120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2">
        <f>9+61+76+63.5+17+27+80.5+27.5+85.127</f>
        <v>446.627</v>
      </c>
      <c r="AO54" s="52"/>
      <c r="AP54" s="52"/>
      <c r="AQ54" s="52">
        <f>170</f>
        <v>170</v>
      </c>
      <c r="AR54" s="52">
        <f>46+50</f>
        <v>96</v>
      </c>
      <c r="AS54" s="52"/>
      <c r="AT54" s="52">
        <f>28.8</f>
        <v>28.8</v>
      </c>
      <c r="AU54" s="52"/>
      <c r="AV54" s="52"/>
      <c r="AW54" s="52"/>
      <c r="AX54" s="52"/>
      <c r="AY54" s="52"/>
      <c r="AZ54" s="52">
        <f>105+19.152</f>
        <v>124.152</v>
      </c>
      <c r="BA54" s="52">
        <f>60+40+20</f>
        <v>120</v>
      </c>
      <c r="BB54" s="52"/>
      <c r="BC54" s="52">
        <f>200</f>
        <v>200</v>
      </c>
      <c r="BD54" s="52"/>
      <c r="BE54" s="52"/>
      <c r="BF54" s="52"/>
      <c r="BG54" s="52"/>
      <c r="BH54" s="52">
        <f>68</f>
        <v>68</v>
      </c>
      <c r="BI54" s="52">
        <f>52</f>
        <v>52</v>
      </c>
      <c r="BJ54" s="53">
        <f>8</f>
        <v>8</v>
      </c>
      <c r="BK54" s="53"/>
      <c r="BL54" s="53"/>
      <c r="BM54" s="53">
        <f>186</f>
        <v>186</v>
      </c>
      <c r="BN54" s="53"/>
      <c r="BO54" s="53"/>
      <c r="BP54" s="53">
        <f>143.2+66.72+72+77.507+186.8+16.2+119+180</f>
        <v>861.427</v>
      </c>
      <c r="BQ54" s="53">
        <f>160+76+100+181+46+362.4</f>
        <v>925.4</v>
      </c>
      <c r="BR54" s="53">
        <f>102.6</f>
        <v>102.6</v>
      </c>
      <c r="BS54" s="53"/>
      <c r="BT54" s="53"/>
      <c r="BU54" s="53">
        <f>376.025</f>
        <v>376.025</v>
      </c>
      <c r="BV54" s="53">
        <f>0.3</f>
        <v>0.3</v>
      </c>
      <c r="BW54" s="53"/>
      <c r="BX54" s="53"/>
      <c r="BY54" s="53">
        <f>24</f>
        <v>24</v>
      </c>
      <c r="BZ54" s="54">
        <f t="shared" si="0"/>
        <v>5644.3189999999995</v>
      </c>
    </row>
    <row r="55" spans="1:78" s="42" customFormat="1" ht="15" customHeight="1">
      <c r="A55" s="39">
        <v>20</v>
      </c>
      <c r="B55" s="51" t="s">
        <v>142</v>
      </c>
      <c r="C55" s="63">
        <v>100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f>315.765+23</f>
        <v>338.765</v>
      </c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>
        <f>6</f>
        <v>6</v>
      </c>
      <c r="AJ55" s="52">
        <f>50.5</f>
        <v>50.5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>
        <f>90</f>
        <v>90</v>
      </c>
      <c r="BA55" s="52">
        <f>130</f>
        <v>130</v>
      </c>
      <c r="BB55" s="52"/>
      <c r="BC55" s="52"/>
      <c r="BD55" s="52"/>
      <c r="BE55" s="52"/>
      <c r="BF55" s="52"/>
      <c r="BG55" s="52"/>
      <c r="BH55" s="52"/>
      <c r="BI55" s="52"/>
      <c r="BJ55" s="53"/>
      <c r="BK55" s="53"/>
      <c r="BL55" s="53"/>
      <c r="BM55" s="53"/>
      <c r="BN55" s="53"/>
      <c r="BO55" s="53"/>
      <c r="BP55" s="53">
        <f>35.25</f>
        <v>35.25</v>
      </c>
      <c r="BQ55" s="53"/>
      <c r="BR55" s="53"/>
      <c r="BS55" s="53"/>
      <c r="BT55" s="53"/>
      <c r="BU55" s="53"/>
      <c r="BV55" s="53"/>
      <c r="BW55" s="53"/>
      <c r="BX55" s="53"/>
      <c r="BY55" s="53"/>
      <c r="BZ55" s="54">
        <f t="shared" si="0"/>
        <v>650.515</v>
      </c>
    </row>
    <row r="56" spans="1:78" s="42" customFormat="1" ht="15" customHeight="1">
      <c r="A56" s="39">
        <v>21</v>
      </c>
      <c r="B56" s="51" t="s">
        <v>32</v>
      </c>
      <c r="C56" s="63">
        <v>1280</v>
      </c>
      <c r="D56" s="52">
        <f>8.584+43.655+140+107.918+50+92.142+76.212+109.924</f>
        <v>628.4350000000001</v>
      </c>
      <c r="E56" s="52"/>
      <c r="F56" s="52"/>
      <c r="G56" s="52"/>
      <c r="H56" s="52"/>
      <c r="I56" s="52"/>
      <c r="J56" s="52"/>
      <c r="K56" s="52"/>
      <c r="L56" s="52">
        <f>1.08+4.32+135.56+0.1</f>
        <v>141.06</v>
      </c>
      <c r="M56" s="52">
        <f>23.8+103.41</f>
        <v>127.21</v>
      </c>
      <c r="N56" s="52"/>
      <c r="O56" s="52"/>
      <c r="P56" s="52"/>
      <c r="Q56" s="52"/>
      <c r="R56" s="52"/>
      <c r="S56" s="52"/>
      <c r="T56" s="52">
        <f>75+190</f>
        <v>265</v>
      </c>
      <c r="U56" s="52">
        <f>70</f>
        <v>70</v>
      </c>
      <c r="V56" s="52"/>
      <c r="W56" s="52"/>
      <c r="X56" s="52"/>
      <c r="Y56" s="52"/>
      <c r="Z56" s="52">
        <f>18.4</f>
        <v>18.4</v>
      </c>
      <c r="AA56" s="52"/>
      <c r="AB56" s="52"/>
      <c r="AC56" s="52">
        <f>150+268+332+506+533</f>
        <v>1789</v>
      </c>
      <c r="AD56" s="52">
        <f>750</f>
        <v>750</v>
      </c>
      <c r="AE56" s="52"/>
      <c r="AF56" s="52"/>
      <c r="AG56" s="52"/>
      <c r="AH56" s="52"/>
      <c r="AI56" s="52"/>
      <c r="AJ56" s="52">
        <f>77.534</f>
        <v>77.534</v>
      </c>
      <c r="AK56" s="52"/>
      <c r="AL56" s="52"/>
      <c r="AM56" s="52"/>
      <c r="AN56" s="68">
        <f>123+39.5+40+44.25+109.5+37.5+153.93</f>
        <v>547.6800000000001</v>
      </c>
      <c r="AO56" s="52"/>
      <c r="AP56" s="52"/>
      <c r="AQ56" s="52">
        <f>375</f>
        <v>375</v>
      </c>
      <c r="AR56" s="52">
        <f>49+100</f>
        <v>149</v>
      </c>
      <c r="AS56" s="52"/>
      <c r="AT56" s="52">
        <f>57.6</f>
        <v>57.6</v>
      </c>
      <c r="AU56" s="52"/>
      <c r="AV56" s="52"/>
      <c r="AW56" s="52"/>
      <c r="AX56" s="52">
        <f>313.715</f>
        <v>313.715</v>
      </c>
      <c r="AY56" s="52">
        <f>131.5</f>
        <v>131.5</v>
      </c>
      <c r="AZ56" s="52">
        <f>210+186.704</f>
        <v>396.704</v>
      </c>
      <c r="BA56" s="52">
        <f>480+140+13</f>
        <v>633</v>
      </c>
      <c r="BB56" s="52"/>
      <c r="BC56" s="52">
        <f>320</f>
        <v>320</v>
      </c>
      <c r="BD56" s="52"/>
      <c r="BE56" s="52"/>
      <c r="BF56" s="52"/>
      <c r="BG56" s="52"/>
      <c r="BH56" s="52">
        <f>126</f>
        <v>126</v>
      </c>
      <c r="BI56" s="52"/>
      <c r="BJ56" s="53">
        <f>25.5+247</f>
        <v>272.5</v>
      </c>
      <c r="BK56" s="53"/>
      <c r="BL56" s="53"/>
      <c r="BM56" s="53"/>
      <c r="BN56" s="53"/>
      <c r="BO56" s="53"/>
      <c r="BP56" s="53">
        <f>309.6+340.4+108.84+563.044+548.232+59.4+428.4+505.5</f>
        <v>2863.416</v>
      </c>
      <c r="BQ56" s="53">
        <f>339+674.5+502.18+1367+969.9+108+97+819.7+180</f>
        <v>5057.280000000001</v>
      </c>
      <c r="BR56" s="53">
        <f>658.8</f>
        <v>658.8</v>
      </c>
      <c r="BS56" s="53"/>
      <c r="BT56" s="53"/>
      <c r="BU56" s="53">
        <f>80.728</f>
        <v>80.728</v>
      </c>
      <c r="BV56" s="53"/>
      <c r="BW56" s="53"/>
      <c r="BX56" s="53"/>
      <c r="BY56" s="53">
        <f>96</f>
        <v>96</v>
      </c>
      <c r="BZ56" s="54">
        <f t="shared" si="0"/>
        <v>15945.562</v>
      </c>
    </row>
    <row r="57" spans="1:78" s="42" customFormat="1" ht="15" customHeight="1">
      <c r="A57" s="39">
        <v>22</v>
      </c>
      <c r="B57" s="51" t="s">
        <v>33</v>
      </c>
      <c r="C57" s="63">
        <v>800</v>
      </c>
      <c r="D57" s="52">
        <f>29.835+87.058+50.46</f>
        <v>167.353</v>
      </c>
      <c r="E57" s="52"/>
      <c r="F57" s="52"/>
      <c r="G57" s="52"/>
      <c r="H57" s="52"/>
      <c r="I57" s="52"/>
      <c r="J57" s="52"/>
      <c r="K57" s="52"/>
      <c r="L57" s="52">
        <f>0.5+2.6+11</f>
        <v>14.1</v>
      </c>
      <c r="M57" s="52">
        <f>57.4</f>
        <v>57.4</v>
      </c>
      <c r="N57" s="52"/>
      <c r="O57" s="52"/>
      <c r="P57" s="52"/>
      <c r="Q57" s="52">
        <f>21.65</f>
        <v>21.65</v>
      </c>
      <c r="R57" s="52"/>
      <c r="S57" s="52"/>
      <c r="T57" s="52"/>
      <c r="U57" s="52"/>
      <c r="V57" s="52"/>
      <c r="W57" s="52"/>
      <c r="X57" s="52"/>
      <c r="Y57" s="52"/>
      <c r="Z57" s="52">
        <f>0.3</f>
        <v>0.3</v>
      </c>
      <c r="AA57" s="52"/>
      <c r="AB57" s="52"/>
      <c r="AC57" s="52">
        <f>140.5+62</f>
        <v>202.5</v>
      </c>
      <c r="AD57" s="52">
        <f>300</f>
        <v>300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2">
        <f>36</f>
        <v>36</v>
      </c>
      <c r="AO57" s="52">
        <f>48</f>
        <v>48</v>
      </c>
      <c r="AP57" s="52"/>
      <c r="AQ57" s="52">
        <f>191</f>
        <v>191</v>
      </c>
      <c r="AR57" s="52"/>
      <c r="AS57" s="52"/>
      <c r="AT57" s="52"/>
      <c r="AU57" s="52"/>
      <c r="AV57" s="52"/>
      <c r="AW57" s="52"/>
      <c r="AX57" s="52"/>
      <c r="AY57" s="52"/>
      <c r="AZ57" s="52">
        <f>150+19.152</f>
        <v>169.152</v>
      </c>
      <c r="BA57" s="52">
        <f>250+40</f>
        <v>290</v>
      </c>
      <c r="BB57" s="52"/>
      <c r="BC57" s="52">
        <f>120</f>
        <v>120</v>
      </c>
      <c r="BD57" s="52"/>
      <c r="BE57" s="52"/>
      <c r="BF57" s="52"/>
      <c r="BG57" s="52"/>
      <c r="BH57" s="52">
        <f>25.2</f>
        <v>25.2</v>
      </c>
      <c r="BI57" s="52"/>
      <c r="BJ57" s="53"/>
      <c r="BK57" s="53"/>
      <c r="BL57" s="53"/>
      <c r="BM57" s="53"/>
      <c r="BN57" s="53"/>
      <c r="BO57" s="53"/>
      <c r="BP57" s="53">
        <f>86.4+160.8+89.4+121.259+248.36+16.2+95.2+398.4</f>
        <v>1216.0190000000002</v>
      </c>
      <c r="BQ57" s="53">
        <f>100</f>
        <v>100</v>
      </c>
      <c r="BR57" s="53">
        <f>216</f>
        <v>216</v>
      </c>
      <c r="BS57" s="53"/>
      <c r="BT57" s="53"/>
      <c r="BU57" s="53"/>
      <c r="BV57" s="53">
        <f>32</f>
        <v>32</v>
      </c>
      <c r="BW57" s="53"/>
      <c r="BX57" s="53"/>
      <c r="BY57" s="53">
        <f>24</f>
        <v>24</v>
      </c>
      <c r="BZ57" s="54">
        <f t="shared" si="0"/>
        <v>3230.674</v>
      </c>
    </row>
    <row r="58" spans="1:78" s="42" customFormat="1" ht="15" customHeight="1">
      <c r="A58" s="39">
        <v>23</v>
      </c>
      <c r="B58" s="51" t="s">
        <v>119</v>
      </c>
      <c r="C58" s="63">
        <v>20</v>
      </c>
      <c r="D58" s="52">
        <f>111.475+74.5+89.425+144.63+90.978</f>
        <v>511.008</v>
      </c>
      <c r="E58" s="52"/>
      <c r="F58" s="52"/>
      <c r="G58" s="52"/>
      <c r="H58" s="52"/>
      <c r="I58" s="52"/>
      <c r="J58" s="52"/>
      <c r="K58" s="52"/>
      <c r="L58" s="52">
        <f>3.24+6.5+0.36+2</f>
        <v>12.1</v>
      </c>
      <c r="M58" s="52">
        <f>15.9+25.83</f>
        <v>41.73</v>
      </c>
      <c r="N58" s="52"/>
      <c r="O58" s="52"/>
      <c r="P58" s="52"/>
      <c r="Q58" s="52"/>
      <c r="R58" s="52"/>
      <c r="S58" s="52"/>
      <c r="T58" s="52">
        <f>4.5</f>
        <v>4.5</v>
      </c>
      <c r="U58" s="52"/>
      <c r="V58" s="52"/>
      <c r="W58" s="52"/>
      <c r="X58" s="52"/>
      <c r="Y58" s="52"/>
      <c r="Z58" s="52"/>
      <c r="AA58" s="52"/>
      <c r="AB58" s="52"/>
      <c r="AC58" s="52"/>
      <c r="AD58" s="52">
        <f>30</f>
        <v>30</v>
      </c>
      <c r="AE58" s="52"/>
      <c r="AF58" s="52"/>
      <c r="AG58" s="52"/>
      <c r="AH58" s="52"/>
      <c r="AI58" s="52"/>
      <c r="AJ58" s="52"/>
      <c r="AK58" s="52"/>
      <c r="AL58" s="52"/>
      <c r="AM58" s="52"/>
      <c r="AN58" s="52">
        <f>102+50.5+190.5</f>
        <v>343</v>
      </c>
      <c r="AO58" s="52"/>
      <c r="AP58" s="52"/>
      <c r="AQ58" s="52">
        <f>69</f>
        <v>69</v>
      </c>
      <c r="AR58" s="52"/>
      <c r="AS58" s="52"/>
      <c r="AT58" s="52"/>
      <c r="AU58" s="52"/>
      <c r="AV58" s="52"/>
      <c r="AW58" s="52"/>
      <c r="AX58" s="52"/>
      <c r="AY58" s="52">
        <f>12</f>
        <v>12</v>
      </c>
      <c r="AZ58" s="52">
        <f>60+19.152</f>
        <v>79.152</v>
      </c>
      <c r="BA58" s="52">
        <f>10+20</f>
        <v>30</v>
      </c>
      <c r="BB58" s="52"/>
      <c r="BC58" s="52"/>
      <c r="BD58" s="52"/>
      <c r="BE58" s="52"/>
      <c r="BF58" s="52"/>
      <c r="BG58" s="52"/>
      <c r="BH58" s="52">
        <f>37.4</f>
        <v>37.4</v>
      </c>
      <c r="BI58" s="52"/>
      <c r="BJ58" s="53"/>
      <c r="BK58" s="53"/>
      <c r="BL58" s="53"/>
      <c r="BM58" s="53"/>
      <c r="BN58" s="53"/>
      <c r="BO58" s="53"/>
      <c r="BP58" s="53">
        <f>36+71.6+50.048+31.92+38.08+94.44</f>
        <v>322.08799999999997</v>
      </c>
      <c r="BQ58" s="53">
        <f>19</f>
        <v>19</v>
      </c>
      <c r="BR58" s="53">
        <f>16.2</f>
        <v>16.2</v>
      </c>
      <c r="BS58" s="53"/>
      <c r="BT58" s="53"/>
      <c r="BU58" s="53"/>
      <c r="BV58" s="53"/>
      <c r="BW58" s="53"/>
      <c r="BX58" s="53"/>
      <c r="BY58" s="53">
        <f>24</f>
        <v>24</v>
      </c>
      <c r="BZ58" s="54">
        <f t="shared" si="0"/>
        <v>1551.178</v>
      </c>
    </row>
    <row r="59" spans="1:78" s="42" customFormat="1" ht="15" customHeight="1">
      <c r="A59" s="39">
        <v>24</v>
      </c>
      <c r="B59" s="51" t="s">
        <v>120</v>
      </c>
      <c r="C59" s="63">
        <v>80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>
        <v>24</v>
      </c>
      <c r="BZ59" s="54">
        <f t="shared" si="0"/>
        <v>24</v>
      </c>
    </row>
    <row r="60" spans="1:78" s="42" customFormat="1" ht="15" customHeight="1">
      <c r="A60" s="39">
        <v>25</v>
      </c>
      <c r="B60" s="51" t="s">
        <v>106</v>
      </c>
      <c r="C60" s="63">
        <v>50</v>
      </c>
      <c r="D60" s="52">
        <f>23.78+123.737+132.181+112.368+71.09+23.33+46+19.439+74.402+140.033+122.583</f>
        <v>888.9429999999999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>
        <f>3.7</f>
        <v>3.7</v>
      </c>
      <c r="U60" s="52"/>
      <c r="V60" s="52"/>
      <c r="W60" s="52"/>
      <c r="X60" s="52"/>
      <c r="Y60" s="52"/>
      <c r="Z60" s="52">
        <f>0.3</f>
        <v>0.3</v>
      </c>
      <c r="AA60" s="52"/>
      <c r="AB60" s="52"/>
      <c r="AC60" s="52">
        <f>61+135+63+32+42</f>
        <v>333</v>
      </c>
      <c r="AD60" s="52">
        <f>30</f>
        <v>30</v>
      </c>
      <c r="AE60" s="52"/>
      <c r="AF60" s="52"/>
      <c r="AG60" s="52"/>
      <c r="AH60" s="52"/>
      <c r="AI60" s="52"/>
      <c r="AJ60" s="52"/>
      <c r="AK60" s="52"/>
      <c r="AL60" s="52"/>
      <c r="AM60" s="52"/>
      <c r="AN60" s="52">
        <f>46.8+78+56.8+23+25.2+77.9+13+108.21</f>
        <v>428.90999999999997</v>
      </c>
      <c r="AO60" s="52"/>
      <c r="AP60" s="52"/>
      <c r="AQ60" s="52">
        <f>102</f>
        <v>102</v>
      </c>
      <c r="AR60" s="52">
        <f>45</f>
        <v>45</v>
      </c>
      <c r="AS60" s="52"/>
      <c r="AT60" s="52">
        <f>14.4</f>
        <v>14.4</v>
      </c>
      <c r="AU60" s="52"/>
      <c r="AV60" s="52"/>
      <c r="AW60" s="52"/>
      <c r="AX60" s="52">
        <f>212.774</f>
        <v>212.774</v>
      </c>
      <c r="AY60" s="52">
        <f>83.9</f>
        <v>83.9</v>
      </c>
      <c r="AZ60" s="52">
        <f>105+19.152</f>
        <v>124.152</v>
      </c>
      <c r="BA60" s="52">
        <f>40+70+20</f>
        <v>130</v>
      </c>
      <c r="BB60" s="52"/>
      <c r="BC60" s="52">
        <f>200</f>
        <v>200</v>
      </c>
      <c r="BD60" s="52"/>
      <c r="BE60" s="52"/>
      <c r="BF60" s="52"/>
      <c r="BG60" s="52"/>
      <c r="BH60" s="52">
        <f>55.2</f>
        <v>55.2</v>
      </c>
      <c r="BI60" s="52"/>
      <c r="BJ60" s="53">
        <f>23.2+146.17</f>
        <v>169.36999999999998</v>
      </c>
      <c r="BK60" s="53"/>
      <c r="BL60" s="53"/>
      <c r="BM60" s="53">
        <f>0.8+5.6+1.4</f>
        <v>7.799999999999999</v>
      </c>
      <c r="BN60" s="53"/>
      <c r="BO60" s="53"/>
      <c r="BP60" s="53">
        <f>14.4+121.8+59.52+92.678+45.04+8.505+44.32+114.42</f>
        <v>500.68300000000005</v>
      </c>
      <c r="BQ60" s="53">
        <f>181.38+80+79+50+100</f>
        <v>490.38</v>
      </c>
      <c r="BR60" s="53">
        <f>48.6</f>
        <v>48.6</v>
      </c>
      <c r="BS60" s="53"/>
      <c r="BT60" s="53"/>
      <c r="BU60" s="53">
        <f>73</f>
        <v>73</v>
      </c>
      <c r="BV60" s="53"/>
      <c r="BW60" s="53"/>
      <c r="BX60" s="53"/>
      <c r="BY60" s="53">
        <f>24</f>
        <v>24</v>
      </c>
      <c r="BZ60" s="54">
        <f t="shared" si="0"/>
        <v>3966.1119999999996</v>
      </c>
    </row>
    <row r="61" spans="1:78" s="42" customFormat="1" ht="15" customHeight="1">
      <c r="A61" s="39">
        <v>26</v>
      </c>
      <c r="B61" s="51" t="s">
        <v>85</v>
      </c>
      <c r="C61" s="63">
        <v>20</v>
      </c>
      <c r="D61" s="52">
        <f>11.126+51.443+87.487+46.5+31.841+46.139+14.31+44.98+17.682+32.676+154.453</f>
        <v>538.6370000000001</v>
      </c>
      <c r="E61" s="52"/>
      <c r="F61" s="52"/>
      <c r="G61" s="52"/>
      <c r="H61" s="52"/>
      <c r="I61" s="52"/>
      <c r="J61" s="52">
        <v>0.5</v>
      </c>
      <c r="K61" s="52"/>
      <c r="L61" s="52"/>
      <c r="M61" s="52"/>
      <c r="N61" s="52"/>
      <c r="O61" s="52"/>
      <c r="P61" s="52"/>
      <c r="Q61" s="52"/>
      <c r="R61" s="52"/>
      <c r="S61" s="52"/>
      <c r="T61" s="52">
        <f>18+3.5</f>
        <v>21.5</v>
      </c>
      <c r="U61" s="52"/>
      <c r="V61" s="52"/>
      <c r="W61" s="52"/>
      <c r="X61" s="52"/>
      <c r="Y61" s="52"/>
      <c r="Z61" s="52">
        <f>16.5+0.3</f>
        <v>16.8</v>
      </c>
      <c r="AA61" s="52"/>
      <c r="AB61" s="52"/>
      <c r="AC61" s="52">
        <f>41+192.922+46+143+22.5</f>
        <v>445.422</v>
      </c>
      <c r="AD61" s="52">
        <f>30</f>
        <v>30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>
        <f>117.3+63.7+16+10+29.2+60.5+58.019</f>
        <v>354.719</v>
      </c>
      <c r="AO61" s="52"/>
      <c r="AP61" s="52"/>
      <c r="AQ61" s="52">
        <f>98</f>
        <v>98</v>
      </c>
      <c r="AR61" s="52">
        <f>38+43.7</f>
        <v>81.7</v>
      </c>
      <c r="AS61" s="52"/>
      <c r="AT61" s="52">
        <f>9.6</f>
        <v>9.6</v>
      </c>
      <c r="AU61" s="52"/>
      <c r="AV61" s="52"/>
      <c r="AW61" s="52"/>
      <c r="AX61" s="52"/>
      <c r="AY61" s="52"/>
      <c r="AZ61" s="52">
        <f>75+19.152</f>
        <v>94.152</v>
      </c>
      <c r="BA61" s="52">
        <f>120+10+20</f>
        <v>150</v>
      </c>
      <c r="BB61" s="52"/>
      <c r="BC61" s="52"/>
      <c r="BD61" s="52"/>
      <c r="BE61" s="52"/>
      <c r="BF61" s="52"/>
      <c r="BG61" s="52"/>
      <c r="BH61" s="52">
        <f>37.4</f>
        <v>37.4</v>
      </c>
      <c r="BI61" s="52">
        <f>20</f>
        <v>20</v>
      </c>
      <c r="BJ61" s="53">
        <f>130.5</f>
        <v>130.5</v>
      </c>
      <c r="BK61" s="53"/>
      <c r="BL61" s="53"/>
      <c r="BM61" s="53"/>
      <c r="BN61" s="53"/>
      <c r="BO61" s="53"/>
      <c r="BP61" s="53">
        <f>9+14.4+78.8+33.18+37.924+38.632+6.6+44.32+95.52</f>
        <v>358.376</v>
      </c>
      <c r="BQ61" s="53">
        <f>87+61.6+39+60+43+115</f>
        <v>405.6</v>
      </c>
      <c r="BR61" s="53">
        <f>16.2</f>
        <v>16.2</v>
      </c>
      <c r="BS61" s="53"/>
      <c r="BT61" s="53"/>
      <c r="BU61" s="53">
        <f>261.025</f>
        <v>261.025</v>
      </c>
      <c r="BV61" s="53">
        <f>15.5</f>
        <v>15.5</v>
      </c>
      <c r="BW61" s="53"/>
      <c r="BX61" s="53"/>
      <c r="BY61" s="53">
        <f>24</f>
        <v>24</v>
      </c>
      <c r="BZ61" s="54">
        <f t="shared" si="0"/>
        <v>3109.631</v>
      </c>
    </row>
    <row r="62" spans="1:78" s="42" customFormat="1" ht="15" customHeight="1">
      <c r="A62" s="39">
        <v>27</v>
      </c>
      <c r="B62" s="51" t="s">
        <v>86</v>
      </c>
      <c r="C62" s="63">
        <v>30</v>
      </c>
      <c r="D62" s="52">
        <f>19.87+148.522+89.5+163.12+34+52.812+45.659+117+80.26+64.5+123.763+169.073+99.164</f>
        <v>1207.2430000000002</v>
      </c>
      <c r="E62" s="52"/>
      <c r="F62" s="52"/>
      <c r="G62" s="52"/>
      <c r="H62" s="52"/>
      <c r="I62" s="52"/>
      <c r="J62" s="52">
        <v>0.5</v>
      </c>
      <c r="K62" s="52"/>
      <c r="L62" s="52"/>
      <c r="M62" s="52"/>
      <c r="N62" s="52"/>
      <c r="O62" s="52"/>
      <c r="P62" s="52"/>
      <c r="Q62" s="52"/>
      <c r="R62" s="52"/>
      <c r="S62" s="52"/>
      <c r="T62" s="52">
        <f>68.2+4.5</f>
        <v>72.7</v>
      </c>
      <c r="U62" s="52"/>
      <c r="V62" s="52"/>
      <c r="W62" s="52"/>
      <c r="X62" s="52"/>
      <c r="Y62" s="52"/>
      <c r="Z62" s="52">
        <f>0.3</f>
        <v>0.3</v>
      </c>
      <c r="AA62" s="52"/>
      <c r="AB62" s="52"/>
      <c r="AC62" s="52">
        <f>56+292.96+31+98</f>
        <v>477.96</v>
      </c>
      <c r="AD62" s="52">
        <f>30</f>
        <v>30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>
        <f>101.3+29.4+32+81.5+55.8+50+184.2</f>
        <v>534.2</v>
      </c>
      <c r="AO62" s="52"/>
      <c r="AP62" s="52"/>
      <c r="AQ62" s="52">
        <f>95</f>
        <v>95</v>
      </c>
      <c r="AR62" s="52"/>
      <c r="AS62" s="52"/>
      <c r="AT62" s="52">
        <f>AT61</f>
        <v>9.6</v>
      </c>
      <c r="AU62" s="52"/>
      <c r="AV62" s="52"/>
      <c r="AW62" s="52"/>
      <c r="AX62" s="52"/>
      <c r="AY62" s="52">
        <f>13</f>
        <v>13</v>
      </c>
      <c r="AZ62" s="52">
        <f>75+19.152</f>
        <v>94.152</v>
      </c>
      <c r="BA62" s="52">
        <f>120+20+20</f>
        <v>160</v>
      </c>
      <c r="BB62" s="52"/>
      <c r="BC62" s="52"/>
      <c r="BD62" s="52"/>
      <c r="BE62" s="52"/>
      <c r="BF62" s="52"/>
      <c r="BG62" s="52"/>
      <c r="BH62" s="52">
        <f>39.2</f>
        <v>39.2</v>
      </c>
      <c r="BI62" s="52"/>
      <c r="BJ62" s="53">
        <f>14.5+114.34</f>
        <v>128.84</v>
      </c>
      <c r="BK62" s="53"/>
      <c r="BL62" s="53"/>
      <c r="BM62" s="53">
        <f>2</f>
        <v>2</v>
      </c>
      <c r="BN62" s="53"/>
      <c r="BO62" s="53"/>
      <c r="BP62" s="53">
        <f>14.4+86+33.18+53.228+38.632+6.6+44.32+111.72</f>
        <v>388.08000000000004</v>
      </c>
      <c r="BQ62" s="53">
        <f>87+40+74</f>
        <v>201</v>
      </c>
      <c r="BR62" s="53">
        <f>21.6</f>
        <v>21.6</v>
      </c>
      <c r="BS62" s="53"/>
      <c r="BT62" s="53"/>
      <c r="BU62" s="53">
        <f>254.525</f>
        <v>254.525</v>
      </c>
      <c r="BV62" s="53">
        <f>16</f>
        <v>16</v>
      </c>
      <c r="BW62" s="53"/>
      <c r="BX62" s="53"/>
      <c r="BY62" s="53">
        <f>24</f>
        <v>24</v>
      </c>
      <c r="BZ62" s="54">
        <f t="shared" si="0"/>
        <v>3769.9</v>
      </c>
    </row>
    <row r="63" spans="1:78" s="42" customFormat="1" ht="15" customHeight="1">
      <c r="A63" s="39">
        <v>28</v>
      </c>
      <c r="B63" s="51" t="s">
        <v>87</v>
      </c>
      <c r="C63" s="63">
        <v>16</v>
      </c>
      <c r="D63" s="52">
        <f>32.324+109.185+50.5+108.036+61.379+14.847+38.5+46+3+30.873+73.141+48.902</f>
        <v>616.687</v>
      </c>
      <c r="E63" s="52"/>
      <c r="F63" s="52"/>
      <c r="G63" s="52"/>
      <c r="H63" s="52"/>
      <c r="I63" s="52"/>
      <c r="J63" s="52">
        <v>0.5</v>
      </c>
      <c r="K63" s="52"/>
      <c r="L63" s="52"/>
      <c r="M63" s="52"/>
      <c r="N63" s="52"/>
      <c r="O63" s="52"/>
      <c r="P63" s="52"/>
      <c r="Q63" s="52"/>
      <c r="R63" s="52"/>
      <c r="S63" s="52"/>
      <c r="T63" s="52">
        <f>17.5</f>
        <v>17.5</v>
      </c>
      <c r="U63" s="52"/>
      <c r="V63" s="52"/>
      <c r="W63" s="52"/>
      <c r="X63" s="52"/>
      <c r="Y63" s="52"/>
      <c r="Z63" s="52">
        <f>0.3</f>
        <v>0.3</v>
      </c>
      <c r="AA63" s="52"/>
      <c r="AB63" s="52"/>
      <c r="AC63" s="52">
        <f>37.5+211.7+93+33.5+26.7</f>
        <v>402.4</v>
      </c>
      <c r="AD63" s="52">
        <f>30</f>
        <v>30</v>
      </c>
      <c r="AE63" s="52"/>
      <c r="AF63" s="52"/>
      <c r="AG63" s="52"/>
      <c r="AH63" s="52"/>
      <c r="AI63" s="52"/>
      <c r="AJ63" s="52"/>
      <c r="AK63" s="52"/>
      <c r="AL63" s="52"/>
      <c r="AM63" s="52">
        <f>60</f>
        <v>60</v>
      </c>
      <c r="AN63" s="52">
        <f>288.8+98.8+4.5+101.5+73+107.1+62.6</f>
        <v>736.3000000000001</v>
      </c>
      <c r="AO63" s="52"/>
      <c r="AP63" s="52"/>
      <c r="AQ63" s="52">
        <f>102</f>
        <v>102</v>
      </c>
      <c r="AR63" s="52"/>
      <c r="AS63" s="52"/>
      <c r="AT63" s="52">
        <f>14.4</f>
        <v>14.4</v>
      </c>
      <c r="AU63" s="52"/>
      <c r="AV63" s="52"/>
      <c r="AW63" s="52"/>
      <c r="AX63" s="52"/>
      <c r="AY63" s="52">
        <f>22</f>
        <v>22</v>
      </c>
      <c r="AZ63" s="52">
        <f>75+19.152</f>
        <v>94.152</v>
      </c>
      <c r="BA63" s="52">
        <f>20+40+20</f>
        <v>80</v>
      </c>
      <c r="BB63" s="52"/>
      <c r="BC63" s="52">
        <f>120</f>
        <v>120</v>
      </c>
      <c r="BD63" s="52"/>
      <c r="BE63" s="52"/>
      <c r="BF63" s="52"/>
      <c r="BG63" s="52"/>
      <c r="BH63" s="52">
        <f>35.6</f>
        <v>35.6</v>
      </c>
      <c r="BI63" s="52"/>
      <c r="BJ63" s="53">
        <f>12.5+205.85</f>
        <v>218.35</v>
      </c>
      <c r="BK63" s="53"/>
      <c r="BL63" s="53"/>
      <c r="BM63" s="53"/>
      <c r="BN63" s="53"/>
      <c r="BO63" s="53"/>
      <c r="BP63" s="53">
        <f>14.4+86+50.82+60.278+38.632+6.6+44.32+100.92</f>
        <v>401.97</v>
      </c>
      <c r="BQ63" s="53">
        <f>169+56+194.5+80</f>
        <v>499.5</v>
      </c>
      <c r="BR63" s="53">
        <f>32.4</f>
        <v>32.4</v>
      </c>
      <c r="BS63" s="53">
        <f>76</f>
        <v>76</v>
      </c>
      <c r="BT63" s="53"/>
      <c r="BU63" s="53"/>
      <c r="BV63" s="53"/>
      <c r="BW63" s="53"/>
      <c r="BX63" s="53"/>
      <c r="BY63" s="53">
        <f>24</f>
        <v>24</v>
      </c>
      <c r="BZ63" s="54">
        <f t="shared" si="0"/>
        <v>3584.0589999999997</v>
      </c>
    </row>
    <row r="64" spans="1:78" s="42" customFormat="1" ht="14.25" customHeight="1">
      <c r="A64" s="39">
        <v>29</v>
      </c>
      <c r="B64" s="51" t="s">
        <v>88</v>
      </c>
      <c r="C64" s="63">
        <v>20</v>
      </c>
      <c r="D64" s="52">
        <f>37.419+151.565+44.5+215.422+25.5+58.585+30.338+48.5+68.289+63</f>
        <v>743.1179999999999</v>
      </c>
      <c r="E64" s="52"/>
      <c r="F64" s="52"/>
      <c r="G64" s="52"/>
      <c r="H64" s="52"/>
      <c r="I64" s="52"/>
      <c r="J64" s="52">
        <f>0.5</f>
        <v>0.5</v>
      </c>
      <c r="K64" s="52"/>
      <c r="L64" s="52"/>
      <c r="M64" s="52"/>
      <c r="N64" s="52"/>
      <c r="O64" s="52"/>
      <c r="P64" s="52"/>
      <c r="Q64" s="52"/>
      <c r="R64" s="52"/>
      <c r="S64" s="52"/>
      <c r="T64" s="52">
        <f>63.3</f>
        <v>63.3</v>
      </c>
      <c r="U64" s="52"/>
      <c r="V64" s="52"/>
      <c r="W64" s="52"/>
      <c r="X64" s="52"/>
      <c r="Y64" s="52"/>
      <c r="Z64" s="52">
        <f>0.3</f>
        <v>0.3</v>
      </c>
      <c r="AA64" s="52"/>
      <c r="AB64" s="52"/>
      <c r="AC64" s="52">
        <f>44.5+354.48+25+87.5+13</f>
        <v>524.48</v>
      </c>
      <c r="AD64" s="52"/>
      <c r="AE64" s="52"/>
      <c r="AF64" s="52"/>
      <c r="AG64" s="52"/>
      <c r="AH64" s="52"/>
      <c r="AI64" s="52"/>
      <c r="AJ64" s="52"/>
      <c r="AK64" s="52"/>
      <c r="AL64" s="52"/>
      <c r="AM64" s="52">
        <f>60</f>
        <v>60</v>
      </c>
      <c r="AN64" s="52">
        <f>109.9+20.1+3.5+104</f>
        <v>237.5</v>
      </c>
      <c r="AO64" s="52"/>
      <c r="AP64" s="52"/>
      <c r="AQ64" s="52"/>
      <c r="AR64" s="52"/>
      <c r="AS64" s="52"/>
      <c r="AT64" s="52">
        <f>19.2</f>
        <v>19.2</v>
      </c>
      <c r="AU64" s="52"/>
      <c r="AV64" s="52"/>
      <c r="AW64" s="52"/>
      <c r="AX64" s="52"/>
      <c r="AY64" s="52"/>
      <c r="AZ64" s="52">
        <f>75</f>
        <v>75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3">
        <f>19+114.45</f>
        <v>133.45</v>
      </c>
      <c r="BK64" s="53"/>
      <c r="BL64" s="53"/>
      <c r="BM64" s="53">
        <f>13.8</f>
        <v>13.8</v>
      </c>
      <c r="BN64" s="53"/>
      <c r="BO64" s="53"/>
      <c r="BP64" s="53">
        <f>21.6+78.8+45.78+45.124+6.6</f>
        <v>197.904</v>
      </c>
      <c r="BQ64" s="53">
        <f>87</f>
        <v>87</v>
      </c>
      <c r="BR64" s="53">
        <f>16.2</f>
        <v>16.2</v>
      </c>
      <c r="BS64" s="53"/>
      <c r="BT64" s="53"/>
      <c r="BU64" s="53"/>
      <c r="BV64" s="53"/>
      <c r="BW64" s="53"/>
      <c r="BX64" s="53"/>
      <c r="BY64" s="53">
        <f>24</f>
        <v>24</v>
      </c>
      <c r="BZ64" s="54">
        <f t="shared" si="0"/>
        <v>2195.7519999999995</v>
      </c>
    </row>
    <row r="65" spans="1:78" s="42" customFormat="1" ht="15" customHeight="1">
      <c r="A65" s="39">
        <v>30</v>
      </c>
      <c r="B65" s="51" t="s">
        <v>89</v>
      </c>
      <c r="C65" s="63">
        <v>110</v>
      </c>
      <c r="D65" s="52">
        <f>27.1+155.313+31.322+45.921+85.222+2.044+12.5+145.255+123.48+85.998</f>
        <v>714.155</v>
      </c>
      <c r="E65" s="52"/>
      <c r="F65" s="52"/>
      <c r="G65" s="52"/>
      <c r="H65" s="52"/>
      <c r="I65" s="52"/>
      <c r="J65" s="52">
        <v>0.5</v>
      </c>
      <c r="K65" s="52"/>
      <c r="L65" s="52"/>
      <c r="M65" s="52"/>
      <c r="N65" s="52"/>
      <c r="O65" s="52"/>
      <c r="P65" s="52"/>
      <c r="Q65" s="52"/>
      <c r="R65" s="52"/>
      <c r="S65" s="52"/>
      <c r="T65" s="52">
        <f>15.3+81.7+72.8</f>
        <v>169.8</v>
      </c>
      <c r="U65" s="52"/>
      <c r="V65" s="52"/>
      <c r="W65" s="52"/>
      <c r="X65" s="52"/>
      <c r="Y65" s="52"/>
      <c r="Z65" s="52">
        <f>0.3</f>
        <v>0.3</v>
      </c>
      <c r="AA65" s="52"/>
      <c r="AB65" s="52"/>
      <c r="AC65" s="52">
        <f>368.58+326.2+55+156</f>
        <v>905.78</v>
      </c>
      <c r="AD65" s="52">
        <f>45</f>
        <v>45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2">
        <f>43.2+45+29.426+52.8+75.7+91.25+129.5</f>
        <v>466.876</v>
      </c>
      <c r="AO65" s="52"/>
      <c r="AP65" s="52"/>
      <c r="AQ65" s="52">
        <f>114</f>
        <v>114</v>
      </c>
      <c r="AR65" s="52"/>
      <c r="AS65" s="52"/>
      <c r="AT65" s="52">
        <f>19.2</f>
        <v>19.2</v>
      </c>
      <c r="AU65" s="52"/>
      <c r="AV65" s="52"/>
      <c r="AW65" s="52"/>
      <c r="AX65" s="52"/>
      <c r="AY65" s="52">
        <f>3.8</f>
        <v>3.8</v>
      </c>
      <c r="AZ65" s="52">
        <f>75+19.152</f>
        <v>94.152</v>
      </c>
      <c r="BA65" s="52">
        <f>40+40+20</f>
        <v>100</v>
      </c>
      <c r="BB65" s="52"/>
      <c r="BC65" s="52">
        <f>200</f>
        <v>200</v>
      </c>
      <c r="BD65" s="52"/>
      <c r="BE65" s="52"/>
      <c r="BF65" s="52"/>
      <c r="BG65" s="52"/>
      <c r="BH65" s="52">
        <f>78.4</f>
        <v>78.4</v>
      </c>
      <c r="BI65" s="52"/>
      <c r="BJ65" s="53">
        <f>14+123.7</f>
        <v>137.7</v>
      </c>
      <c r="BK65" s="53"/>
      <c r="BL65" s="53"/>
      <c r="BM65" s="53"/>
      <c r="BN65" s="53"/>
      <c r="BO65" s="53"/>
      <c r="BP65" s="53">
        <f>28.8+184.6+38.58+82.632+59.92+21.42+57.12+156.72</f>
        <v>629.792</v>
      </c>
      <c r="BQ65" s="53">
        <f>130.5+82+60+92</f>
        <v>364.5</v>
      </c>
      <c r="BR65" s="53">
        <f>64.8</f>
        <v>64.8</v>
      </c>
      <c r="BS65" s="53"/>
      <c r="BT65" s="53"/>
      <c r="BU65" s="53">
        <f>73+27.728</f>
        <v>100.72800000000001</v>
      </c>
      <c r="BV65" s="53"/>
      <c r="BW65" s="53"/>
      <c r="BX65" s="53"/>
      <c r="BY65" s="53">
        <f>24</f>
        <v>24</v>
      </c>
      <c r="BZ65" s="54">
        <f t="shared" si="0"/>
        <v>4233.483</v>
      </c>
    </row>
    <row r="66" spans="1:78" s="42" customFormat="1" ht="15" customHeight="1">
      <c r="A66" s="39">
        <v>31</v>
      </c>
      <c r="B66" s="57" t="s">
        <v>34</v>
      </c>
      <c r="C66" s="63">
        <v>400</v>
      </c>
      <c r="D66" s="52">
        <f>36.166+20.885+71.605+48.152</f>
        <v>176.808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>
        <f>0.3</f>
        <v>0.3</v>
      </c>
      <c r="AA66" s="52"/>
      <c r="AB66" s="52"/>
      <c r="AC66" s="52">
        <f>67.5+107.5+39+16</f>
        <v>230</v>
      </c>
      <c r="AD66" s="52">
        <f>120</f>
        <v>120</v>
      </c>
      <c r="AE66" s="52"/>
      <c r="AF66" s="52"/>
      <c r="AG66" s="52"/>
      <c r="AH66" s="52"/>
      <c r="AI66" s="52"/>
      <c r="AJ66" s="52"/>
      <c r="AK66" s="52"/>
      <c r="AL66" s="52"/>
      <c r="AM66" s="52">
        <f>120</f>
        <v>120</v>
      </c>
      <c r="AN66" s="52">
        <f>4.5</f>
        <v>4.5</v>
      </c>
      <c r="AO66" s="52"/>
      <c r="AP66" s="52"/>
      <c r="AQ66" s="52">
        <f>123</f>
        <v>123</v>
      </c>
      <c r="AR66" s="52"/>
      <c r="AS66" s="52"/>
      <c r="AT66" s="52">
        <f>38.4</f>
        <v>38.4</v>
      </c>
      <c r="AU66" s="52"/>
      <c r="AV66" s="52"/>
      <c r="AW66" s="52"/>
      <c r="AX66" s="52"/>
      <c r="AY66" s="52"/>
      <c r="AZ66" s="52">
        <f>75+10</f>
        <v>85</v>
      </c>
      <c r="BA66" s="52">
        <f>40+24.152</f>
        <v>64.152</v>
      </c>
      <c r="BB66" s="52"/>
      <c r="BC66" s="52">
        <f>280</f>
        <v>280</v>
      </c>
      <c r="BD66" s="52"/>
      <c r="BE66" s="52"/>
      <c r="BF66" s="52"/>
      <c r="BG66" s="52"/>
      <c r="BH66" s="52">
        <f>78.4</f>
        <v>78.4</v>
      </c>
      <c r="BI66" s="52"/>
      <c r="BJ66" s="53"/>
      <c r="BK66" s="53"/>
      <c r="BL66" s="53"/>
      <c r="BM66" s="53"/>
      <c r="BN66" s="53"/>
      <c r="BO66" s="53"/>
      <c r="BP66" s="53">
        <f>43.2+143.2+78.96+93.192+131.792+16.2+57.12+244.92</f>
        <v>808.5839999999998</v>
      </c>
      <c r="BQ66" s="53">
        <f>213</f>
        <v>213</v>
      </c>
      <c r="BR66" s="53">
        <f>216</f>
        <v>216</v>
      </c>
      <c r="BS66" s="53"/>
      <c r="BT66" s="53"/>
      <c r="BU66" s="53"/>
      <c r="BV66" s="53"/>
      <c r="BW66" s="53"/>
      <c r="BX66" s="53"/>
      <c r="BY66" s="53">
        <f>24</f>
        <v>24</v>
      </c>
      <c r="BZ66" s="54">
        <f t="shared" si="0"/>
        <v>2582.144</v>
      </c>
    </row>
    <row r="67" spans="1:78" s="3" customFormat="1" ht="15" customHeight="1">
      <c r="A67" s="39">
        <v>32</v>
      </c>
      <c r="B67" s="51" t="s">
        <v>184</v>
      </c>
      <c r="C67" s="63">
        <v>100</v>
      </c>
      <c r="D67" s="52">
        <f>42.905+36.5+7.5</f>
        <v>86.905</v>
      </c>
      <c r="E67" s="52"/>
      <c r="F67" s="52"/>
      <c r="G67" s="52"/>
      <c r="H67" s="52"/>
      <c r="I67" s="52">
        <f>17</f>
        <v>17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>
        <f>77.35</f>
        <v>77.35</v>
      </c>
      <c r="U67" s="52"/>
      <c r="V67" s="52"/>
      <c r="W67" s="52"/>
      <c r="X67" s="52"/>
      <c r="Y67" s="52"/>
      <c r="Z67" s="52"/>
      <c r="AA67" s="52"/>
      <c r="AB67" s="52"/>
      <c r="AC67" s="52"/>
      <c r="AD67" s="52">
        <f>45</f>
        <v>45</v>
      </c>
      <c r="AE67" s="52"/>
      <c r="AF67" s="52"/>
      <c r="AG67" s="52"/>
      <c r="AH67" s="52"/>
      <c r="AI67" s="52"/>
      <c r="AJ67" s="52"/>
      <c r="AK67" s="52"/>
      <c r="AL67" s="52"/>
      <c r="AM67" s="52"/>
      <c r="AN67" s="52">
        <f>99.2+145.3</f>
        <v>244.5</v>
      </c>
      <c r="AO67" s="52"/>
      <c r="AP67" s="52"/>
      <c r="AQ67" s="52">
        <f>108</f>
        <v>108</v>
      </c>
      <c r="AR67" s="52"/>
      <c r="AS67" s="52"/>
      <c r="AT67" s="52"/>
      <c r="AU67" s="52"/>
      <c r="AV67" s="52"/>
      <c r="AW67" s="52"/>
      <c r="AX67" s="52"/>
      <c r="AY67" s="52"/>
      <c r="AZ67" s="52">
        <f>60+19.152</f>
        <v>79.152</v>
      </c>
      <c r="BA67" s="52">
        <f>10+20</f>
        <v>30</v>
      </c>
      <c r="BB67" s="52"/>
      <c r="BC67" s="52"/>
      <c r="BD67" s="52"/>
      <c r="BE67" s="52"/>
      <c r="BF67" s="52"/>
      <c r="BG67" s="52"/>
      <c r="BH67" s="52">
        <f>78.4</f>
        <v>78.4</v>
      </c>
      <c r="BI67" s="52"/>
      <c r="BJ67" s="53"/>
      <c r="BK67" s="53"/>
      <c r="BL67" s="53"/>
      <c r="BM67" s="53"/>
      <c r="BN67" s="53"/>
      <c r="BO67" s="53"/>
      <c r="BP67" s="53">
        <f>72+125.632+78.24+57.12+166.44</f>
        <v>499.432</v>
      </c>
      <c r="BQ67" s="53">
        <f>159+43+75</f>
        <v>277</v>
      </c>
      <c r="BR67" s="53">
        <f>70.2</f>
        <v>70.2</v>
      </c>
      <c r="BS67" s="53">
        <f>199</f>
        <v>199</v>
      </c>
      <c r="BT67" s="53"/>
      <c r="BU67" s="53"/>
      <c r="BV67" s="53"/>
      <c r="BW67" s="53"/>
      <c r="BX67" s="53"/>
      <c r="BY67" s="53"/>
      <c r="BZ67" s="54">
        <f t="shared" si="0"/>
        <v>1811.939</v>
      </c>
    </row>
    <row r="68" spans="1:78" s="42" customFormat="1" ht="15" customHeight="1">
      <c r="A68" s="39">
        <v>33</v>
      </c>
      <c r="B68" s="57" t="s">
        <v>35</v>
      </c>
      <c r="C68" s="65">
        <v>552</v>
      </c>
      <c r="D68" s="52">
        <f>23.66+30.576+19.677</f>
        <v>73.91300000000001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>
        <f>113+6.8+7.33</f>
        <v>127.13</v>
      </c>
      <c r="U68" s="52"/>
      <c r="V68" s="52"/>
      <c r="W68" s="52"/>
      <c r="X68" s="52"/>
      <c r="Y68" s="52"/>
      <c r="Z68" s="52"/>
      <c r="AA68" s="52"/>
      <c r="AB68" s="52"/>
      <c r="AC68" s="52">
        <f>209.206+44+31.842</f>
        <v>285.048</v>
      </c>
      <c r="AD68" s="52">
        <f>150</f>
        <v>150</v>
      </c>
      <c r="AE68" s="52"/>
      <c r="AF68" s="52"/>
      <c r="AG68" s="52"/>
      <c r="AH68" s="52"/>
      <c r="AI68" s="52"/>
      <c r="AJ68" s="52"/>
      <c r="AK68" s="52"/>
      <c r="AL68" s="52"/>
      <c r="AM68" s="52">
        <f>180</f>
        <v>180</v>
      </c>
      <c r="AN68" s="52"/>
      <c r="AO68" s="52"/>
      <c r="AP68" s="52"/>
      <c r="AQ68" s="52">
        <f>190</f>
        <v>190</v>
      </c>
      <c r="AR68" s="52"/>
      <c r="AS68" s="52"/>
      <c r="AT68" s="52">
        <f>48</f>
        <v>48</v>
      </c>
      <c r="AU68" s="52"/>
      <c r="AV68" s="52"/>
      <c r="AW68" s="52"/>
      <c r="AX68" s="52"/>
      <c r="AY68" s="52"/>
      <c r="AZ68" s="52">
        <f>150+29.152</f>
        <v>179.152</v>
      </c>
      <c r="BA68" s="52">
        <f>300+20</f>
        <v>320</v>
      </c>
      <c r="BB68" s="52"/>
      <c r="BC68" s="52">
        <f>90</f>
        <v>90</v>
      </c>
      <c r="BD68" s="52"/>
      <c r="BE68" s="52"/>
      <c r="BF68" s="52"/>
      <c r="BG68" s="52"/>
      <c r="BH68" s="52">
        <f>36</f>
        <v>36</v>
      </c>
      <c r="BI68" s="52"/>
      <c r="BJ68" s="53"/>
      <c r="BK68" s="53"/>
      <c r="BL68" s="53"/>
      <c r="BM68" s="53"/>
      <c r="BN68" s="53"/>
      <c r="BO68" s="53"/>
      <c r="BP68" s="53">
        <f>57.6+197.2+61.26+96.552+169.802+21.6+57.12+310.62</f>
        <v>971.754</v>
      </c>
      <c r="BQ68" s="53">
        <f>266+167</f>
        <v>433</v>
      </c>
      <c r="BR68" s="53">
        <f>189</f>
        <v>189</v>
      </c>
      <c r="BS68" s="53"/>
      <c r="BT68" s="53"/>
      <c r="BU68" s="53"/>
      <c r="BV68" s="53"/>
      <c r="BW68" s="53"/>
      <c r="BX68" s="53"/>
      <c r="BY68" s="53">
        <f>24</f>
        <v>24</v>
      </c>
      <c r="BZ68" s="54">
        <f t="shared" si="0"/>
        <v>3296.997</v>
      </c>
    </row>
    <row r="69" spans="1:78" s="42" customFormat="1" ht="15" customHeight="1">
      <c r="A69" s="39">
        <v>34</v>
      </c>
      <c r="B69" s="51" t="s">
        <v>81</v>
      </c>
      <c r="C69" s="63">
        <v>250</v>
      </c>
      <c r="D69" s="52">
        <f>27.352+34.888+1.2+38.5+16.2+63.863+18.6+72.239+52.795</f>
        <v>325.637</v>
      </c>
      <c r="E69" s="52">
        <f>16.5</f>
        <v>16.5</v>
      </c>
      <c r="F69" s="52"/>
      <c r="G69" s="52"/>
      <c r="H69" s="52"/>
      <c r="I69" s="52"/>
      <c r="J69" s="52">
        <f>0.5</f>
        <v>0.5</v>
      </c>
      <c r="K69" s="52"/>
      <c r="L69" s="52">
        <f>0.36+2+3.24+6.5</f>
        <v>12.1</v>
      </c>
      <c r="M69" s="52">
        <f>9+26.36</f>
        <v>35.36</v>
      </c>
      <c r="N69" s="52"/>
      <c r="O69" s="52"/>
      <c r="P69" s="52"/>
      <c r="Q69" s="52"/>
      <c r="R69" s="52"/>
      <c r="S69" s="52"/>
      <c r="T69" s="52">
        <f>8+44.5+77.7+1.33+85.4</f>
        <v>216.93</v>
      </c>
      <c r="U69" s="52"/>
      <c r="V69" s="52"/>
      <c r="W69" s="52"/>
      <c r="X69" s="52"/>
      <c r="Y69" s="52"/>
      <c r="Z69" s="52">
        <f>0.3</f>
        <v>0.3</v>
      </c>
      <c r="AA69" s="52"/>
      <c r="AB69" s="52"/>
      <c r="AC69" s="52">
        <f>151</f>
        <v>151</v>
      </c>
      <c r="AD69" s="52">
        <f>90</f>
        <v>90</v>
      </c>
      <c r="AE69" s="52"/>
      <c r="AF69" s="52"/>
      <c r="AG69" s="52"/>
      <c r="AH69" s="52"/>
      <c r="AI69" s="52">
        <f>6</f>
        <v>6</v>
      </c>
      <c r="AJ69" s="52">
        <f>48.25</f>
        <v>48.25</v>
      </c>
      <c r="AK69" s="52"/>
      <c r="AL69" s="52"/>
      <c r="AM69" s="52"/>
      <c r="AN69" s="52">
        <f>97+52+45+9+111.75+246.5</f>
        <v>561.25</v>
      </c>
      <c r="AO69" s="52"/>
      <c r="AP69" s="52"/>
      <c r="AQ69" s="52">
        <f>122</f>
        <v>122</v>
      </c>
      <c r="AR69" s="52"/>
      <c r="AS69" s="52"/>
      <c r="AT69" s="52">
        <f>24</f>
        <v>24</v>
      </c>
      <c r="AU69" s="52"/>
      <c r="AV69" s="52"/>
      <c r="AW69" s="52"/>
      <c r="AX69" s="52"/>
      <c r="AY69" s="52">
        <v>3.8</v>
      </c>
      <c r="AZ69" s="52">
        <f>105+19.152</f>
        <v>124.152</v>
      </c>
      <c r="BA69" s="52">
        <f>80+40+20</f>
        <v>140</v>
      </c>
      <c r="BB69" s="52"/>
      <c r="BC69" s="52">
        <f>220</f>
        <v>220</v>
      </c>
      <c r="BD69" s="52"/>
      <c r="BE69" s="52"/>
      <c r="BF69" s="52"/>
      <c r="BG69" s="52"/>
      <c r="BH69" s="52">
        <f>148</f>
        <v>148</v>
      </c>
      <c r="BI69" s="52"/>
      <c r="BJ69" s="53"/>
      <c r="BK69" s="53"/>
      <c r="BL69" s="53"/>
      <c r="BM69" s="53"/>
      <c r="BN69" s="53"/>
      <c r="BO69" s="53"/>
      <c r="BP69" s="53">
        <f>28.8+164.8+77.16+122.228+106.44+10.8+95.2+257.52</f>
        <v>862.948</v>
      </c>
      <c r="BQ69" s="53">
        <f>100</f>
        <v>100</v>
      </c>
      <c r="BR69" s="53">
        <f>108</f>
        <v>108</v>
      </c>
      <c r="BS69" s="53"/>
      <c r="BT69" s="53"/>
      <c r="BU69" s="53">
        <f>312.12</f>
        <v>312.12</v>
      </c>
      <c r="BV69" s="53"/>
      <c r="BW69" s="53"/>
      <c r="BX69" s="53"/>
      <c r="BY69" s="53">
        <f>24</f>
        <v>24</v>
      </c>
      <c r="BZ69" s="54">
        <f aca="true" t="shared" si="1" ref="BZ69:BZ100">SUM(D69:BY69)</f>
        <v>3652.8469999999998</v>
      </c>
    </row>
    <row r="70" spans="1:78" s="42" customFormat="1" ht="15" customHeight="1">
      <c r="A70" s="39">
        <v>35</v>
      </c>
      <c r="B70" s="51" t="s">
        <v>36</v>
      </c>
      <c r="C70" s="63">
        <v>30</v>
      </c>
      <c r="D70" s="52">
        <f>26.355+62.717+95.784+49.5+25+18.279+20.286+15.998+61.719+18.054+166.947</f>
        <v>560.6389999999999</v>
      </c>
      <c r="E70" s="52"/>
      <c r="F70" s="52"/>
      <c r="G70" s="52"/>
      <c r="H70" s="52"/>
      <c r="I70" s="52"/>
      <c r="J70" s="52">
        <v>0.5</v>
      </c>
      <c r="K70" s="52"/>
      <c r="L70" s="52"/>
      <c r="M70" s="52"/>
      <c r="N70" s="52"/>
      <c r="O70" s="52"/>
      <c r="P70" s="52"/>
      <c r="Q70" s="52"/>
      <c r="R70" s="52"/>
      <c r="S70" s="52"/>
      <c r="T70" s="52">
        <f>21</f>
        <v>21</v>
      </c>
      <c r="U70" s="52"/>
      <c r="V70" s="52"/>
      <c r="W70" s="52"/>
      <c r="X70" s="52"/>
      <c r="Y70" s="52"/>
      <c r="Z70" s="52">
        <f>22.5+0.3</f>
        <v>22.8</v>
      </c>
      <c r="AA70" s="52"/>
      <c r="AB70" s="52">
        <f>114.5</f>
        <v>114.5</v>
      </c>
      <c r="AC70" s="52">
        <f>118+256.322+48+22.5</f>
        <v>444.822</v>
      </c>
      <c r="AD70" s="52">
        <f>30</f>
        <v>30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>
        <f>45+102.9+55.7+33.2+13+29.4+63+60.727</f>
        <v>402.92699999999996</v>
      </c>
      <c r="AO70" s="52"/>
      <c r="AP70" s="52"/>
      <c r="AQ70" s="52">
        <f>106</f>
        <v>106</v>
      </c>
      <c r="AR70" s="52">
        <f>40+30</f>
        <v>70</v>
      </c>
      <c r="AS70" s="52"/>
      <c r="AT70" s="52">
        <f>AT63</f>
        <v>14.4</v>
      </c>
      <c r="AU70" s="52"/>
      <c r="AV70" s="52"/>
      <c r="AW70" s="52"/>
      <c r="AX70" s="52"/>
      <c r="AY70" s="52">
        <v>0</v>
      </c>
      <c r="AZ70" s="52">
        <f>75+19.152</f>
        <v>94.152</v>
      </c>
      <c r="BA70" s="52">
        <f>20+10+20</f>
        <v>50</v>
      </c>
      <c r="BB70" s="52"/>
      <c r="BC70" s="52">
        <f>100</f>
        <v>100</v>
      </c>
      <c r="BD70" s="52"/>
      <c r="BE70" s="52"/>
      <c r="BF70" s="52"/>
      <c r="BG70" s="52"/>
      <c r="BH70" s="52">
        <f>35.6</f>
        <v>35.6</v>
      </c>
      <c r="BI70" s="52">
        <f>20</f>
        <v>20</v>
      </c>
      <c r="BJ70" s="53">
        <f>9+138.7</f>
        <v>147.7</v>
      </c>
      <c r="BK70" s="53"/>
      <c r="BL70" s="53"/>
      <c r="BM70" s="53"/>
      <c r="BN70" s="53"/>
      <c r="BO70" s="53"/>
      <c r="BP70" s="53">
        <f>14.4+86+38.58+58.628+39.136+6.6+44.32+106.32</f>
        <v>393.984</v>
      </c>
      <c r="BQ70" s="53">
        <f>87+26.5+78+29+44+150</f>
        <v>414.5</v>
      </c>
      <c r="BR70" s="53">
        <f>21.6</f>
        <v>21.6</v>
      </c>
      <c r="BS70" s="53"/>
      <c r="BT70" s="53">
        <f>21.5+87</f>
        <v>108.5</v>
      </c>
      <c r="BU70" s="53">
        <f>264.625+19</f>
        <v>283.625</v>
      </c>
      <c r="BV70" s="53"/>
      <c r="BW70" s="53"/>
      <c r="BX70" s="53"/>
      <c r="BY70" s="53">
        <f>24</f>
        <v>24</v>
      </c>
      <c r="BZ70" s="54">
        <f t="shared" si="1"/>
        <v>3481.249</v>
      </c>
    </row>
    <row r="71" spans="1:78" s="43" customFormat="1" ht="15" customHeight="1">
      <c r="A71" s="39">
        <v>36</v>
      </c>
      <c r="B71" s="51" t="s">
        <v>150</v>
      </c>
      <c r="C71" s="63">
        <v>2400</v>
      </c>
      <c r="D71" s="59"/>
      <c r="E71" s="59"/>
      <c r="F71" s="59"/>
      <c r="G71" s="59"/>
      <c r="H71" s="59"/>
      <c r="I71" s="59"/>
      <c r="J71" s="59">
        <f>67</f>
        <v>67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>
        <f>900</f>
        <v>900</v>
      </c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>
        <f>10</f>
        <v>10</v>
      </c>
      <c r="AT71" s="59"/>
      <c r="AU71" s="59"/>
      <c r="AV71" s="59"/>
      <c r="AW71" s="59"/>
      <c r="AX71" s="59"/>
      <c r="AY71" s="59"/>
      <c r="AZ71" s="59"/>
      <c r="BA71" s="59">
        <f>10</f>
        <v>10</v>
      </c>
      <c r="BB71" s="59"/>
      <c r="BC71" s="59"/>
      <c r="BD71" s="59"/>
      <c r="BE71" s="59"/>
      <c r="BF71" s="59"/>
      <c r="BG71" s="59"/>
      <c r="BH71" s="59">
        <f>90</f>
        <v>90</v>
      </c>
      <c r="BI71" s="59"/>
      <c r="BJ71" s="58"/>
      <c r="BK71" s="58"/>
      <c r="BL71" s="58"/>
      <c r="BM71" s="58"/>
      <c r="BN71" s="58"/>
      <c r="BO71" s="58"/>
      <c r="BP71" s="58">
        <f>270+285.6+441.36</f>
        <v>996.96</v>
      </c>
      <c r="BQ71" s="58">
        <f>1142+792+781.7+117</f>
        <v>2832.7</v>
      </c>
      <c r="BR71" s="58"/>
      <c r="BS71" s="58"/>
      <c r="BT71" s="58">
        <f>14.2+93</f>
        <v>107.2</v>
      </c>
      <c r="BU71" s="58"/>
      <c r="BV71" s="58"/>
      <c r="BW71" s="58"/>
      <c r="BX71" s="58"/>
      <c r="BY71" s="58"/>
      <c r="BZ71" s="54">
        <f t="shared" si="1"/>
        <v>5013.86</v>
      </c>
    </row>
    <row r="72" spans="1:78" s="42" customFormat="1" ht="15" customHeight="1">
      <c r="A72" s="39">
        <v>37</v>
      </c>
      <c r="B72" s="51" t="s">
        <v>57</v>
      </c>
      <c r="C72" s="63">
        <v>1000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>
        <f>315</f>
        <v>315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3"/>
      <c r="BK72" s="53"/>
      <c r="BL72" s="53"/>
      <c r="BM72" s="53"/>
      <c r="BN72" s="53"/>
      <c r="BO72" s="53"/>
      <c r="BP72" s="53">
        <f aca="true" t="shared" si="2" ref="BP72:BP77">453.6+683.52</f>
        <v>1137.12</v>
      </c>
      <c r="BQ72" s="53">
        <f>500+151+74</f>
        <v>725</v>
      </c>
      <c r="BR72" s="53"/>
      <c r="BS72" s="53"/>
      <c r="BT72" s="53"/>
      <c r="BU72" s="53"/>
      <c r="BV72" s="53"/>
      <c r="BW72" s="53"/>
      <c r="BX72" s="53"/>
      <c r="BY72" s="53"/>
      <c r="BZ72" s="54">
        <f t="shared" si="1"/>
        <v>2177.12</v>
      </c>
    </row>
    <row r="73" spans="1:78" s="42" customFormat="1" ht="15" customHeight="1">
      <c r="A73" s="39">
        <v>38</v>
      </c>
      <c r="B73" s="51" t="s">
        <v>72</v>
      </c>
      <c r="C73" s="63">
        <v>1000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>
        <f>315</f>
        <v>315</v>
      </c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3"/>
      <c r="BK73" s="53"/>
      <c r="BL73" s="53"/>
      <c r="BM73" s="53"/>
      <c r="BN73" s="53"/>
      <c r="BO73" s="53"/>
      <c r="BP73" s="53">
        <f t="shared" si="2"/>
        <v>1137.12</v>
      </c>
      <c r="BQ73" s="53">
        <f>151+50</f>
        <v>201</v>
      </c>
      <c r="BR73" s="53"/>
      <c r="BS73" s="53"/>
      <c r="BT73" s="53"/>
      <c r="BU73" s="53"/>
      <c r="BV73" s="53"/>
      <c r="BW73" s="53"/>
      <c r="BX73" s="53"/>
      <c r="BY73" s="53"/>
      <c r="BZ73" s="54">
        <f t="shared" si="1"/>
        <v>1653.12</v>
      </c>
    </row>
    <row r="74" spans="1:78" s="42" customFormat="1" ht="15" customHeight="1">
      <c r="A74" s="39">
        <v>39</v>
      </c>
      <c r="B74" s="51" t="s">
        <v>95</v>
      </c>
      <c r="C74" s="64">
        <v>1000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>
        <f>315</f>
        <v>315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1"/>
      <c r="BK74" s="41"/>
      <c r="BL74" s="41"/>
      <c r="BM74" s="41"/>
      <c r="BN74" s="41"/>
      <c r="BO74" s="41"/>
      <c r="BP74" s="41">
        <f t="shared" si="2"/>
        <v>1137.12</v>
      </c>
      <c r="BQ74" s="41">
        <f>156</f>
        <v>156</v>
      </c>
      <c r="BR74" s="41"/>
      <c r="BS74" s="41"/>
      <c r="BT74" s="41"/>
      <c r="BU74" s="41"/>
      <c r="BV74" s="41"/>
      <c r="BW74" s="41"/>
      <c r="BX74" s="41"/>
      <c r="BY74" s="41"/>
      <c r="BZ74" s="54">
        <f t="shared" si="1"/>
        <v>1608.12</v>
      </c>
    </row>
    <row r="75" spans="1:78" s="42" customFormat="1" ht="15" customHeight="1">
      <c r="A75" s="39">
        <v>40</v>
      </c>
      <c r="B75" s="51" t="s">
        <v>75</v>
      </c>
      <c r="C75" s="64">
        <v>1000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>
        <f>315</f>
        <v>315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1"/>
      <c r="BK75" s="41"/>
      <c r="BL75" s="41"/>
      <c r="BM75" s="41"/>
      <c r="BN75" s="41"/>
      <c r="BO75" s="41"/>
      <c r="BP75" s="41">
        <f t="shared" si="2"/>
        <v>1137.12</v>
      </c>
      <c r="BQ75" s="41">
        <f>134+50</f>
        <v>184</v>
      </c>
      <c r="BR75" s="41"/>
      <c r="BS75" s="41"/>
      <c r="BT75" s="41"/>
      <c r="BU75" s="41"/>
      <c r="BV75" s="41"/>
      <c r="BW75" s="41"/>
      <c r="BX75" s="41"/>
      <c r="BY75" s="41"/>
      <c r="BZ75" s="54">
        <f t="shared" si="1"/>
        <v>1636.12</v>
      </c>
    </row>
    <row r="76" spans="1:78" s="42" customFormat="1" ht="15" customHeight="1">
      <c r="A76" s="39">
        <v>41</v>
      </c>
      <c r="B76" s="51" t="s">
        <v>67</v>
      </c>
      <c r="C76" s="64">
        <v>1000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>
        <f>315</f>
        <v>315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1"/>
      <c r="BK76" s="41"/>
      <c r="BL76" s="41"/>
      <c r="BM76" s="41"/>
      <c r="BN76" s="41"/>
      <c r="BO76" s="41"/>
      <c r="BP76" s="41">
        <f t="shared" si="2"/>
        <v>1137.12</v>
      </c>
      <c r="BQ76" s="41">
        <f>156+50</f>
        <v>206</v>
      </c>
      <c r="BR76" s="41"/>
      <c r="BS76" s="41"/>
      <c r="BT76" s="41"/>
      <c r="BU76" s="41"/>
      <c r="BV76" s="41"/>
      <c r="BW76" s="41"/>
      <c r="BX76" s="41"/>
      <c r="BY76" s="41"/>
      <c r="BZ76" s="54">
        <f t="shared" si="1"/>
        <v>1658.12</v>
      </c>
    </row>
    <row r="77" spans="1:78" s="42" customFormat="1" ht="15" customHeight="1">
      <c r="A77" s="39">
        <v>42</v>
      </c>
      <c r="B77" s="51" t="s">
        <v>56</v>
      </c>
      <c r="C77" s="64">
        <v>1000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>
        <f>315</f>
        <v>315</v>
      </c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1"/>
      <c r="BK77" s="41"/>
      <c r="BL77" s="41"/>
      <c r="BM77" s="41"/>
      <c r="BN77" s="41"/>
      <c r="BO77" s="41"/>
      <c r="BP77" s="41">
        <f t="shared" si="2"/>
        <v>1137.12</v>
      </c>
      <c r="BQ77" s="41">
        <f>134</f>
        <v>134</v>
      </c>
      <c r="BR77" s="41"/>
      <c r="BS77" s="41"/>
      <c r="BT77" s="41"/>
      <c r="BU77" s="41"/>
      <c r="BV77" s="41"/>
      <c r="BW77" s="41"/>
      <c r="BX77" s="41"/>
      <c r="BY77" s="41"/>
      <c r="BZ77" s="54">
        <f t="shared" si="1"/>
        <v>1586.12</v>
      </c>
    </row>
    <row r="78" spans="1:78" s="42" customFormat="1" ht="15" customHeight="1">
      <c r="A78" s="39">
        <v>43</v>
      </c>
      <c r="B78" s="51" t="s">
        <v>157</v>
      </c>
      <c r="C78" s="64">
        <v>1000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>
        <f>315</f>
        <v>315</v>
      </c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1"/>
      <c r="BK78" s="41"/>
      <c r="BL78" s="41"/>
      <c r="BM78" s="41"/>
      <c r="BN78" s="41"/>
      <c r="BO78" s="41"/>
      <c r="BP78" s="41">
        <f>505.92</f>
        <v>505.92</v>
      </c>
      <c r="BQ78" s="41">
        <f>155+50</f>
        <v>205</v>
      </c>
      <c r="BR78" s="41"/>
      <c r="BS78" s="41"/>
      <c r="BT78" s="41"/>
      <c r="BU78" s="41"/>
      <c r="BV78" s="41"/>
      <c r="BW78" s="41"/>
      <c r="BX78" s="41"/>
      <c r="BY78" s="41"/>
      <c r="BZ78" s="54">
        <f t="shared" si="1"/>
        <v>1025.92</v>
      </c>
    </row>
    <row r="79" spans="1:78" s="42" customFormat="1" ht="15" customHeight="1">
      <c r="A79" s="39">
        <v>44</v>
      </c>
      <c r="B79" s="51" t="s">
        <v>37</v>
      </c>
      <c r="C79" s="64">
        <v>1000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>
        <f>315</f>
        <v>315</v>
      </c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1"/>
      <c r="BK79" s="41"/>
      <c r="BL79" s="41"/>
      <c r="BM79" s="41"/>
      <c r="BN79" s="41"/>
      <c r="BO79" s="41"/>
      <c r="BP79" s="41">
        <f>453.6+683.52</f>
        <v>1137.12</v>
      </c>
      <c r="BQ79" s="41">
        <f>500+134</f>
        <v>634</v>
      </c>
      <c r="BR79" s="41"/>
      <c r="BS79" s="41"/>
      <c r="BT79" s="41"/>
      <c r="BU79" s="41"/>
      <c r="BV79" s="41"/>
      <c r="BW79" s="41"/>
      <c r="BX79" s="41"/>
      <c r="BY79" s="41"/>
      <c r="BZ79" s="54">
        <f t="shared" si="1"/>
        <v>2086.12</v>
      </c>
    </row>
    <row r="80" spans="1:78" s="42" customFormat="1" ht="15" customHeight="1">
      <c r="A80" s="39">
        <v>45</v>
      </c>
      <c r="B80" s="51" t="s">
        <v>60</v>
      </c>
      <c r="C80" s="64">
        <v>1000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>
        <f>315</f>
        <v>315</v>
      </c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1"/>
      <c r="BK80" s="41"/>
      <c r="BL80" s="41"/>
      <c r="BM80" s="41"/>
      <c r="BN80" s="41"/>
      <c r="BO80" s="41"/>
      <c r="BP80" s="41">
        <f>453.6+683.52</f>
        <v>1137.12</v>
      </c>
      <c r="BQ80" s="41">
        <f>134+50</f>
        <v>184</v>
      </c>
      <c r="BR80" s="41"/>
      <c r="BS80" s="41"/>
      <c r="BT80" s="41"/>
      <c r="BU80" s="41"/>
      <c r="BV80" s="41"/>
      <c r="BW80" s="41"/>
      <c r="BX80" s="41"/>
      <c r="BY80" s="41"/>
      <c r="BZ80" s="54">
        <f t="shared" si="1"/>
        <v>1636.12</v>
      </c>
    </row>
    <row r="81" spans="1:78" s="42" customFormat="1" ht="15" customHeight="1">
      <c r="A81" s="39">
        <v>46</v>
      </c>
      <c r="B81" s="51" t="s">
        <v>69</v>
      </c>
      <c r="C81" s="64">
        <v>1000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>
        <f>315</f>
        <v>315</v>
      </c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1"/>
      <c r="BK81" s="41"/>
      <c r="BL81" s="41"/>
      <c r="BM81" s="41"/>
      <c r="BN81" s="41"/>
      <c r="BO81" s="41"/>
      <c r="BP81" s="41">
        <f>453.6+683.52</f>
        <v>1137.12</v>
      </c>
      <c r="BQ81" s="41">
        <f>225+134</f>
        <v>359</v>
      </c>
      <c r="BR81" s="41"/>
      <c r="BS81" s="41"/>
      <c r="BT81" s="41"/>
      <c r="BU81" s="41"/>
      <c r="BV81" s="41"/>
      <c r="BW81" s="41"/>
      <c r="BX81" s="41"/>
      <c r="BY81" s="41"/>
      <c r="BZ81" s="54">
        <f t="shared" si="1"/>
        <v>1811.12</v>
      </c>
    </row>
    <row r="82" spans="1:78" s="42" customFormat="1" ht="15" customHeight="1">
      <c r="A82" s="39">
        <v>47</v>
      </c>
      <c r="B82" s="51" t="s">
        <v>66</v>
      </c>
      <c r="C82" s="64">
        <v>1000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>
        <f>315</f>
        <v>315</v>
      </c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1"/>
      <c r="BK82" s="41"/>
      <c r="BL82" s="41"/>
      <c r="BM82" s="41"/>
      <c r="BN82" s="41"/>
      <c r="BO82" s="41"/>
      <c r="BP82" s="41">
        <f>453.6+683.52</f>
        <v>1137.12</v>
      </c>
      <c r="BQ82" s="41">
        <f>134</f>
        <v>134</v>
      </c>
      <c r="BR82" s="41"/>
      <c r="BS82" s="41"/>
      <c r="BT82" s="41"/>
      <c r="BU82" s="41"/>
      <c r="BV82" s="41"/>
      <c r="BW82" s="41"/>
      <c r="BX82" s="41"/>
      <c r="BY82" s="41"/>
      <c r="BZ82" s="54">
        <f t="shared" si="1"/>
        <v>1586.12</v>
      </c>
    </row>
    <row r="83" spans="1:78" s="42" customFormat="1" ht="15" customHeight="1">
      <c r="A83" s="39">
        <v>48</v>
      </c>
      <c r="B83" s="51" t="s">
        <v>80</v>
      </c>
      <c r="C83" s="64">
        <v>1000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>
        <f>315</f>
        <v>315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1"/>
      <c r="BK83" s="41"/>
      <c r="BL83" s="41"/>
      <c r="BM83" s="41"/>
      <c r="BN83" s="41"/>
      <c r="BO83" s="41"/>
      <c r="BP83" s="41">
        <f>453.6+354.12</f>
        <v>807.72</v>
      </c>
      <c r="BQ83" s="41">
        <f>134+50</f>
        <v>184</v>
      </c>
      <c r="BR83" s="41"/>
      <c r="BS83" s="41"/>
      <c r="BT83" s="41"/>
      <c r="BU83" s="41"/>
      <c r="BV83" s="41"/>
      <c r="BW83" s="41"/>
      <c r="BX83" s="41"/>
      <c r="BY83" s="41"/>
      <c r="BZ83" s="54">
        <f t="shared" si="1"/>
        <v>1306.72</v>
      </c>
    </row>
    <row r="84" spans="1:78" s="42" customFormat="1" ht="15" customHeight="1">
      <c r="A84" s="39">
        <v>49</v>
      </c>
      <c r="B84" s="51" t="s">
        <v>78</v>
      </c>
      <c r="C84" s="64">
        <v>1000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>
        <f>315</f>
        <v>315</v>
      </c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1"/>
      <c r="BK84" s="41"/>
      <c r="BL84" s="41"/>
      <c r="BM84" s="41"/>
      <c r="BN84" s="41"/>
      <c r="BO84" s="41"/>
      <c r="BP84" s="41">
        <f>484.8+251.52</f>
        <v>736.32</v>
      </c>
      <c r="BQ84" s="41">
        <f>134+50</f>
        <v>184</v>
      </c>
      <c r="BR84" s="41"/>
      <c r="BS84" s="41"/>
      <c r="BT84" s="41"/>
      <c r="BU84" s="41"/>
      <c r="BV84" s="41"/>
      <c r="BW84" s="41"/>
      <c r="BX84" s="41"/>
      <c r="BY84" s="41"/>
      <c r="BZ84" s="54">
        <f t="shared" si="1"/>
        <v>1235.3200000000002</v>
      </c>
    </row>
    <row r="85" spans="1:78" s="42" customFormat="1" ht="15" customHeight="1">
      <c r="A85" s="39">
        <v>50</v>
      </c>
      <c r="B85" s="51" t="s">
        <v>68</v>
      </c>
      <c r="C85" s="64">
        <v>1000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>
        <f>315</f>
        <v>315</v>
      </c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1"/>
      <c r="BK85" s="41"/>
      <c r="BL85" s="41"/>
      <c r="BM85" s="41"/>
      <c r="BN85" s="41"/>
      <c r="BO85" s="41"/>
      <c r="BP85" s="41">
        <f>453.6+251.52</f>
        <v>705.12</v>
      </c>
      <c r="BQ85" s="41">
        <f>241+134+50</f>
        <v>425</v>
      </c>
      <c r="BR85" s="41"/>
      <c r="BS85" s="41"/>
      <c r="BT85" s="41"/>
      <c r="BU85" s="41"/>
      <c r="BV85" s="41"/>
      <c r="BW85" s="41"/>
      <c r="BX85" s="41"/>
      <c r="BY85" s="41"/>
      <c r="BZ85" s="54">
        <f t="shared" si="1"/>
        <v>1445.12</v>
      </c>
    </row>
    <row r="86" spans="1:78" s="42" customFormat="1" ht="15" customHeight="1">
      <c r="A86" s="39">
        <v>51</v>
      </c>
      <c r="B86" s="51" t="s">
        <v>38</v>
      </c>
      <c r="C86" s="66">
        <v>1000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>
        <f>315</f>
        <v>315</v>
      </c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1"/>
      <c r="BK86" s="41"/>
      <c r="BL86" s="41"/>
      <c r="BM86" s="41"/>
      <c r="BN86" s="41"/>
      <c r="BO86" s="41"/>
      <c r="BP86" s="41">
        <f>453.6+683.52</f>
        <v>1137.12</v>
      </c>
      <c r="BQ86" s="41">
        <f>156+50</f>
        <v>206</v>
      </c>
      <c r="BR86" s="41"/>
      <c r="BS86" s="41"/>
      <c r="BT86" s="41"/>
      <c r="BU86" s="41"/>
      <c r="BV86" s="41"/>
      <c r="BW86" s="41"/>
      <c r="BX86" s="41"/>
      <c r="BY86" s="41"/>
      <c r="BZ86" s="54">
        <f t="shared" si="1"/>
        <v>1658.12</v>
      </c>
    </row>
    <row r="87" spans="1:78" s="42" customFormat="1" ht="15" customHeight="1">
      <c r="A87" s="39">
        <v>52</v>
      </c>
      <c r="B87" s="51" t="s">
        <v>59</v>
      </c>
      <c r="C87" s="66">
        <v>1000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>
        <f>315</f>
        <v>315</v>
      </c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1"/>
      <c r="BK87" s="41"/>
      <c r="BL87" s="41"/>
      <c r="BM87" s="41"/>
      <c r="BN87" s="41"/>
      <c r="BO87" s="41"/>
      <c r="BP87" s="41">
        <f>453.6+251.52</f>
        <v>705.12</v>
      </c>
      <c r="BQ87" s="41">
        <f>500+134</f>
        <v>634</v>
      </c>
      <c r="BR87" s="41"/>
      <c r="BS87" s="41"/>
      <c r="BT87" s="41"/>
      <c r="BU87" s="41"/>
      <c r="BV87" s="41"/>
      <c r="BW87" s="41"/>
      <c r="BX87" s="41"/>
      <c r="BY87" s="41"/>
      <c r="BZ87" s="54">
        <f t="shared" si="1"/>
        <v>1654.12</v>
      </c>
    </row>
    <row r="88" spans="1:78" s="3" customFormat="1" ht="15" customHeight="1">
      <c r="A88" s="39">
        <v>53</v>
      </c>
      <c r="B88" s="51" t="s">
        <v>90</v>
      </c>
      <c r="C88" s="66">
        <v>100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>
        <f>165</f>
        <v>165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2"/>
      <c r="BK88" s="2"/>
      <c r="BL88" s="2"/>
      <c r="BM88" s="2"/>
      <c r="BN88" s="2"/>
      <c r="BO88" s="2"/>
      <c r="BP88" s="2">
        <f>72+160.32</f>
        <v>232.32</v>
      </c>
      <c r="BQ88" s="53">
        <f>25</f>
        <v>25</v>
      </c>
      <c r="BR88" s="53"/>
      <c r="BS88" s="53"/>
      <c r="BT88" s="53"/>
      <c r="BU88" s="53"/>
      <c r="BV88" s="53"/>
      <c r="BW88" s="53"/>
      <c r="BX88" s="53"/>
      <c r="BY88" s="53"/>
      <c r="BZ88" s="54">
        <f t="shared" si="1"/>
        <v>422.32</v>
      </c>
    </row>
    <row r="89" spans="1:78" s="3" customFormat="1" ht="15" customHeight="1">
      <c r="A89" s="39">
        <v>54</v>
      </c>
      <c r="B89" s="51" t="s">
        <v>83</v>
      </c>
      <c r="C89" s="66">
        <v>100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>
        <f>165</f>
        <v>165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2"/>
      <c r="BK89" s="2"/>
      <c r="BL89" s="2"/>
      <c r="BM89" s="2"/>
      <c r="BN89" s="2"/>
      <c r="BO89" s="2"/>
      <c r="BP89" s="2">
        <f>72+160.32</f>
        <v>232.32</v>
      </c>
      <c r="BQ89" s="2">
        <f>50+25</f>
        <v>75</v>
      </c>
      <c r="BR89" s="2"/>
      <c r="BS89" s="2"/>
      <c r="BT89" s="2"/>
      <c r="BU89" s="2"/>
      <c r="BV89" s="2"/>
      <c r="BW89" s="2"/>
      <c r="BX89" s="2"/>
      <c r="BY89" s="2"/>
      <c r="BZ89" s="54">
        <f t="shared" si="1"/>
        <v>472.32</v>
      </c>
    </row>
    <row r="90" spans="1:78" s="3" customFormat="1" ht="15" customHeight="1">
      <c r="A90" s="39">
        <v>55</v>
      </c>
      <c r="B90" s="51" t="s">
        <v>84</v>
      </c>
      <c r="C90" s="66">
        <v>100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>
        <f>165</f>
        <v>165</v>
      </c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2"/>
      <c r="BK90" s="2"/>
      <c r="BL90" s="2"/>
      <c r="BM90" s="2"/>
      <c r="BN90" s="2"/>
      <c r="BO90" s="2"/>
      <c r="BP90" s="2">
        <f>72+160.32</f>
        <v>232.32</v>
      </c>
      <c r="BQ90" s="2">
        <f>25</f>
        <v>25</v>
      </c>
      <c r="BR90" s="2"/>
      <c r="BS90" s="2"/>
      <c r="BT90" s="2"/>
      <c r="BU90" s="2"/>
      <c r="BV90" s="2"/>
      <c r="BW90" s="2"/>
      <c r="BX90" s="2"/>
      <c r="BY90" s="2"/>
      <c r="BZ90" s="54">
        <f t="shared" si="1"/>
        <v>422.32</v>
      </c>
    </row>
    <row r="91" spans="1:78" s="3" customFormat="1" ht="15" customHeight="1">
      <c r="A91" s="39">
        <v>56</v>
      </c>
      <c r="B91" s="51" t="s">
        <v>39</v>
      </c>
      <c r="C91" s="66">
        <v>760</v>
      </c>
      <c r="D91" s="1">
        <f>67.819+91.5+48.919+73.357</f>
        <v>281.595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>
        <f>11.5</f>
        <v>11.5</v>
      </c>
      <c r="U91" s="1"/>
      <c r="V91" s="1"/>
      <c r="W91" s="1"/>
      <c r="X91" s="1"/>
      <c r="Y91" s="1"/>
      <c r="Z91" s="1">
        <f>0.3</f>
        <v>0.3</v>
      </c>
      <c r="AA91" s="1"/>
      <c r="AB91" s="1"/>
      <c r="AC91" s="1">
        <f>175.5+62.714+29.599</f>
        <v>267.813</v>
      </c>
      <c r="AD91" s="1">
        <f>300</f>
        <v>300</v>
      </c>
      <c r="AE91" s="1"/>
      <c r="AF91" s="1"/>
      <c r="AG91" s="1"/>
      <c r="AH91" s="1"/>
      <c r="AI91" s="1"/>
      <c r="AJ91" s="1"/>
      <c r="AK91" s="1"/>
      <c r="AL91" s="1"/>
      <c r="AM91" s="1">
        <f>160+14</f>
        <v>174</v>
      </c>
      <c r="AN91" s="1">
        <f>16</f>
        <v>16</v>
      </c>
      <c r="AO91" s="1"/>
      <c r="AP91" s="1"/>
      <c r="AQ91" s="1">
        <f>186</f>
        <v>186</v>
      </c>
      <c r="AR91" s="1"/>
      <c r="AS91" s="1"/>
      <c r="AT91" s="1">
        <f>57.6</f>
        <v>57.6</v>
      </c>
      <c r="AU91" s="1"/>
      <c r="AV91" s="1"/>
      <c r="AW91" s="1"/>
      <c r="AX91" s="1"/>
      <c r="AY91" s="1"/>
      <c r="AZ91" s="1">
        <f>105+40.152</f>
        <v>145.152</v>
      </c>
      <c r="BA91" s="1">
        <f>320+10</f>
        <v>330</v>
      </c>
      <c r="BB91" s="1"/>
      <c r="BC91" s="1"/>
      <c r="BD91" s="1"/>
      <c r="BE91" s="1"/>
      <c r="BF91" s="1"/>
      <c r="BG91" s="1"/>
      <c r="BH91" s="1">
        <f>21.6</f>
        <v>21.6</v>
      </c>
      <c r="BI91" s="1"/>
      <c r="BJ91" s="2"/>
      <c r="BK91" s="2"/>
      <c r="BL91" s="2"/>
      <c r="BM91" s="2"/>
      <c r="BN91" s="2"/>
      <c r="BO91" s="2"/>
      <c r="BP91" s="2">
        <f>72+143.2+71.76+101.056+224.672+16.2+71.4+360.12</f>
        <v>1060.408</v>
      </c>
      <c r="BQ91" s="2">
        <f>75+120</f>
        <v>195</v>
      </c>
      <c r="BR91" s="2">
        <f>302.4</f>
        <v>302.4</v>
      </c>
      <c r="BS91" s="2"/>
      <c r="BT91" s="2"/>
      <c r="BU91" s="2"/>
      <c r="BV91" s="2"/>
      <c r="BW91" s="2"/>
      <c r="BX91" s="2"/>
      <c r="BY91" s="2">
        <f>24</f>
        <v>24</v>
      </c>
      <c r="BZ91" s="54">
        <f t="shared" si="1"/>
        <v>3373.368</v>
      </c>
    </row>
    <row r="92" spans="1:78" s="42" customFormat="1" ht="15" customHeight="1">
      <c r="A92" s="39">
        <v>57</v>
      </c>
      <c r="B92" s="51" t="s">
        <v>40</v>
      </c>
      <c r="C92" s="63">
        <v>320</v>
      </c>
      <c r="D92" s="52">
        <f>19.864+23.416+13+16.736</f>
        <v>73.016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>
        <f>161.247+63+26+27.728</f>
        <v>277.975</v>
      </c>
      <c r="AD92" s="52"/>
      <c r="AE92" s="52"/>
      <c r="AF92" s="52"/>
      <c r="AG92" s="52"/>
      <c r="AH92" s="52"/>
      <c r="AI92" s="52"/>
      <c r="AJ92" s="52"/>
      <c r="AK92" s="52"/>
      <c r="AL92" s="52"/>
      <c r="AM92" s="52">
        <f>160</f>
        <v>160</v>
      </c>
      <c r="AN92" s="52"/>
      <c r="AO92" s="52"/>
      <c r="AP92" s="52"/>
      <c r="AQ92" s="52">
        <f>149</f>
        <v>149</v>
      </c>
      <c r="AR92" s="52"/>
      <c r="AS92" s="52"/>
      <c r="AT92" s="52">
        <f>9.6</f>
        <v>9.6</v>
      </c>
      <c r="AU92" s="52"/>
      <c r="AV92" s="52"/>
      <c r="AW92" s="52"/>
      <c r="AX92" s="52"/>
      <c r="AY92" s="52"/>
      <c r="AZ92" s="52">
        <f>75</f>
        <v>75</v>
      </c>
      <c r="BA92" s="52"/>
      <c r="BB92" s="52"/>
      <c r="BC92" s="52"/>
      <c r="BD92" s="52"/>
      <c r="BE92" s="52"/>
      <c r="BF92" s="52"/>
      <c r="BG92" s="52"/>
      <c r="BH92" s="52"/>
      <c r="BI92" s="52"/>
      <c r="BJ92" s="53"/>
      <c r="BK92" s="53"/>
      <c r="BL92" s="53"/>
      <c r="BM92" s="53"/>
      <c r="BN92" s="53"/>
      <c r="BO92" s="53"/>
      <c r="BP92" s="53">
        <f>21.6+98.6+49.02+123.104</f>
        <v>292.324</v>
      </c>
      <c r="BQ92" s="53">
        <f>126.5</f>
        <v>126.5</v>
      </c>
      <c r="BR92" s="53"/>
      <c r="BS92" s="53"/>
      <c r="BT92" s="53"/>
      <c r="BU92" s="53"/>
      <c r="BV92" s="53"/>
      <c r="BW92" s="53"/>
      <c r="BX92" s="53"/>
      <c r="BY92" s="53">
        <f>24</f>
        <v>24</v>
      </c>
      <c r="BZ92" s="54">
        <f t="shared" si="1"/>
        <v>1187.415</v>
      </c>
    </row>
    <row r="93" spans="1:78" s="42" customFormat="1" ht="15" customHeight="1">
      <c r="A93" s="39">
        <v>58</v>
      </c>
      <c r="B93" s="51" t="s">
        <v>41</v>
      </c>
      <c r="C93" s="63">
        <v>112</v>
      </c>
      <c r="D93" s="52">
        <f>14.906</f>
        <v>14.906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>
        <f>7.5+15.142</f>
        <v>22.642</v>
      </c>
      <c r="U93" s="52"/>
      <c r="V93" s="52"/>
      <c r="W93" s="52"/>
      <c r="X93" s="52"/>
      <c r="Y93" s="52"/>
      <c r="Z93" s="52">
        <f>0.3</f>
        <v>0.3</v>
      </c>
      <c r="AA93" s="52"/>
      <c r="AB93" s="52"/>
      <c r="AC93" s="52">
        <f>116</f>
        <v>116</v>
      </c>
      <c r="AD93" s="52">
        <f>60</f>
        <v>60</v>
      </c>
      <c r="AE93" s="52"/>
      <c r="AF93" s="52"/>
      <c r="AG93" s="52"/>
      <c r="AH93" s="52"/>
      <c r="AI93" s="52"/>
      <c r="AJ93" s="52"/>
      <c r="AK93" s="52"/>
      <c r="AL93" s="52"/>
      <c r="AM93" s="52"/>
      <c r="AN93" s="52">
        <f>52.5</f>
        <v>52.5</v>
      </c>
      <c r="AO93" s="52"/>
      <c r="AP93" s="52"/>
      <c r="AQ93" s="52">
        <f>115</f>
        <v>115</v>
      </c>
      <c r="AR93" s="52"/>
      <c r="AS93" s="52"/>
      <c r="AT93" s="52">
        <f>19.2</f>
        <v>19.2</v>
      </c>
      <c r="AU93" s="52"/>
      <c r="AV93" s="52"/>
      <c r="AW93" s="52"/>
      <c r="AX93" s="52"/>
      <c r="AY93" s="52"/>
      <c r="AZ93" s="52">
        <f>75+19.152</f>
        <v>94.152</v>
      </c>
      <c r="BA93" s="52">
        <f>160+10</f>
        <v>170</v>
      </c>
      <c r="BB93" s="52"/>
      <c r="BC93" s="52"/>
      <c r="BD93" s="52"/>
      <c r="BE93" s="52"/>
      <c r="BF93" s="52"/>
      <c r="BG93" s="52"/>
      <c r="BH93" s="52">
        <f>5.4</f>
        <v>5.4</v>
      </c>
      <c r="BI93" s="52"/>
      <c r="BJ93" s="53"/>
      <c r="BK93" s="53"/>
      <c r="BL93" s="53"/>
      <c r="BM93" s="53"/>
      <c r="BN93" s="53"/>
      <c r="BO93" s="53"/>
      <c r="BP93" s="53">
        <f>14.4+71.6+45.78+68.382+75.952+5.4+38.08+163.92</f>
        <v>483.514</v>
      </c>
      <c r="BQ93" s="53"/>
      <c r="BR93" s="53">
        <f>81</f>
        <v>81</v>
      </c>
      <c r="BS93" s="53"/>
      <c r="BT93" s="53"/>
      <c r="BU93" s="53"/>
      <c r="BV93" s="53"/>
      <c r="BW93" s="53"/>
      <c r="BX93" s="53"/>
      <c r="BY93" s="53">
        <f>24</f>
        <v>24</v>
      </c>
      <c r="BZ93" s="54">
        <f t="shared" si="1"/>
        <v>1258.614</v>
      </c>
    </row>
    <row r="94" spans="1:78" s="43" customFormat="1" ht="15" customHeight="1">
      <c r="A94" s="39">
        <v>59</v>
      </c>
      <c r="B94" s="51" t="s">
        <v>125</v>
      </c>
      <c r="C94" s="63">
        <v>800</v>
      </c>
      <c r="D94" s="60">
        <f>24.202</f>
        <v>24.202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>
        <f>8</f>
        <v>8</v>
      </c>
      <c r="U94" s="60"/>
      <c r="V94" s="60"/>
      <c r="W94" s="60"/>
      <c r="X94" s="60"/>
      <c r="Y94" s="60"/>
      <c r="Z94" s="60"/>
      <c r="AA94" s="60"/>
      <c r="AB94" s="60"/>
      <c r="AC94" s="60">
        <f>138</f>
        <v>138</v>
      </c>
      <c r="AD94" s="60">
        <f>210</f>
        <v>210</v>
      </c>
      <c r="AE94" s="60"/>
      <c r="AF94" s="60"/>
      <c r="AG94" s="60"/>
      <c r="AH94" s="60"/>
      <c r="AI94" s="60"/>
      <c r="AJ94" s="60"/>
      <c r="AK94" s="60"/>
      <c r="AL94" s="60"/>
      <c r="AM94" s="60"/>
      <c r="AN94" s="60">
        <f>81.5</f>
        <v>81.5</v>
      </c>
      <c r="AO94" s="60"/>
      <c r="AP94" s="60"/>
      <c r="AQ94" s="60">
        <f>211</f>
        <v>211</v>
      </c>
      <c r="AR94" s="60"/>
      <c r="AS94" s="60"/>
      <c r="AT94" s="60">
        <f>48</f>
        <v>48</v>
      </c>
      <c r="AU94" s="60"/>
      <c r="AV94" s="60"/>
      <c r="AW94" s="60"/>
      <c r="AX94" s="60"/>
      <c r="AY94" s="60"/>
      <c r="AZ94" s="60">
        <f>135+19.152</f>
        <v>154.152</v>
      </c>
      <c r="BA94" s="60">
        <f>370+10</f>
        <v>380</v>
      </c>
      <c r="BB94" s="60"/>
      <c r="BC94" s="60"/>
      <c r="BD94" s="60"/>
      <c r="BE94" s="60"/>
      <c r="BF94" s="60"/>
      <c r="BG94" s="60"/>
      <c r="BH94" s="60">
        <f>27</f>
        <v>27</v>
      </c>
      <c r="BI94" s="60"/>
      <c r="BJ94" s="54"/>
      <c r="BK94" s="54"/>
      <c r="BL94" s="54"/>
      <c r="BM94" s="54"/>
      <c r="BN94" s="54"/>
      <c r="BO94" s="54"/>
      <c r="BP94" s="54">
        <f>72+143.2+77.16+129.946+252.68+21.6+71.4+326.4</f>
        <v>1094.386</v>
      </c>
      <c r="BQ94" s="54">
        <f>108</f>
        <v>108</v>
      </c>
      <c r="BR94" s="54"/>
      <c r="BS94" s="54"/>
      <c r="BT94" s="54"/>
      <c r="BU94" s="54"/>
      <c r="BV94" s="54"/>
      <c r="BW94" s="54"/>
      <c r="BX94" s="54"/>
      <c r="BY94" s="54">
        <f>24</f>
        <v>24</v>
      </c>
      <c r="BZ94" s="54">
        <f t="shared" si="1"/>
        <v>2508.24</v>
      </c>
    </row>
    <row r="95" spans="1:78" s="42" customFormat="1" ht="15" customHeight="1">
      <c r="A95" s="39">
        <v>60</v>
      </c>
      <c r="B95" s="57" t="s">
        <v>42</v>
      </c>
      <c r="C95" s="63">
        <v>550</v>
      </c>
      <c r="D95" s="52">
        <f>107+57.5+40.856</f>
        <v>205.356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>
        <f>168+20.5</f>
        <v>188.5</v>
      </c>
      <c r="AD95" s="52">
        <f>300</f>
        <v>300</v>
      </c>
      <c r="AE95" s="52"/>
      <c r="AF95" s="52"/>
      <c r="AG95" s="52"/>
      <c r="AH95" s="52"/>
      <c r="AI95" s="52"/>
      <c r="AJ95" s="52"/>
      <c r="AK95" s="52"/>
      <c r="AL95" s="52"/>
      <c r="AM95" s="52"/>
      <c r="AN95" s="52">
        <f>68.5+53.6+43</f>
        <v>165.1</v>
      </c>
      <c r="AO95" s="52"/>
      <c r="AP95" s="52"/>
      <c r="AQ95" s="52">
        <f>49</f>
        <v>49</v>
      </c>
      <c r="AR95" s="52"/>
      <c r="AS95" s="52"/>
      <c r="AT95" s="52">
        <f>48</f>
        <v>48</v>
      </c>
      <c r="AU95" s="52"/>
      <c r="AV95" s="52"/>
      <c r="AW95" s="52"/>
      <c r="AX95" s="52"/>
      <c r="AY95" s="52"/>
      <c r="AZ95" s="52">
        <f>75+47.152</f>
        <v>122.152</v>
      </c>
      <c r="BA95" s="52">
        <f>300+40</f>
        <v>340</v>
      </c>
      <c r="BB95" s="52"/>
      <c r="BC95" s="52">
        <f>120</f>
        <v>120</v>
      </c>
      <c r="BD95" s="52"/>
      <c r="BE95" s="52"/>
      <c r="BF95" s="52"/>
      <c r="BG95" s="52"/>
      <c r="BH95" s="52">
        <f>64.8</f>
        <v>64.8</v>
      </c>
      <c r="BI95" s="52"/>
      <c r="BJ95" s="53"/>
      <c r="BK95" s="53"/>
      <c r="BL95" s="53"/>
      <c r="BM95" s="53"/>
      <c r="BN95" s="53"/>
      <c r="BO95" s="53"/>
      <c r="BP95" s="53">
        <f>72+196.6+75+59.871+213.56+142.8+682.8</f>
        <v>1442.6309999999999</v>
      </c>
      <c r="BQ95" s="53">
        <f>101+79</f>
        <v>180</v>
      </c>
      <c r="BR95" s="53"/>
      <c r="BS95" s="53"/>
      <c r="BT95" s="53"/>
      <c r="BU95" s="53"/>
      <c r="BV95" s="53"/>
      <c r="BW95" s="53"/>
      <c r="BX95" s="53"/>
      <c r="BY95" s="53">
        <f>24</f>
        <v>24</v>
      </c>
      <c r="BZ95" s="54">
        <f t="shared" si="1"/>
        <v>3249.5389999999998</v>
      </c>
    </row>
    <row r="96" spans="1:78" s="42" customFormat="1" ht="15" customHeight="1">
      <c r="A96" s="39">
        <v>61</v>
      </c>
      <c r="B96" s="51" t="s">
        <v>43</v>
      </c>
      <c r="C96" s="64">
        <v>400</v>
      </c>
      <c r="D96" s="52">
        <f>61.2+83+22.09+56.983</f>
        <v>223.273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>
        <f>14.5</f>
        <v>14.5</v>
      </c>
      <c r="U96" s="52"/>
      <c r="V96" s="52"/>
      <c r="W96" s="52"/>
      <c r="X96" s="52"/>
      <c r="Y96" s="52"/>
      <c r="Z96" s="52">
        <f>0.3</f>
        <v>0.3</v>
      </c>
      <c r="AA96" s="52"/>
      <c r="AB96" s="52"/>
      <c r="AC96" s="52">
        <f>105.5+36.357+23.599</f>
        <v>165.456</v>
      </c>
      <c r="AD96" s="52">
        <f>150</f>
        <v>150</v>
      </c>
      <c r="AE96" s="52"/>
      <c r="AF96" s="52"/>
      <c r="AG96" s="52"/>
      <c r="AH96" s="52"/>
      <c r="AI96" s="52"/>
      <c r="AJ96" s="52"/>
      <c r="AK96" s="52"/>
      <c r="AL96" s="52"/>
      <c r="AM96" s="52"/>
      <c r="AN96" s="52">
        <f>6+12.5</f>
        <v>18.5</v>
      </c>
      <c r="AO96" s="52"/>
      <c r="AP96" s="52"/>
      <c r="AQ96" s="52">
        <f>149</f>
        <v>149</v>
      </c>
      <c r="AR96" s="52"/>
      <c r="AS96" s="52"/>
      <c r="AT96" s="52">
        <f>28.8</f>
        <v>28.8</v>
      </c>
      <c r="AU96" s="52"/>
      <c r="AV96" s="52"/>
      <c r="AW96" s="52"/>
      <c r="AX96" s="52"/>
      <c r="AY96" s="52"/>
      <c r="AZ96" s="52">
        <f>105+33.152</f>
        <v>138.152</v>
      </c>
      <c r="BA96" s="52">
        <f>250+10</f>
        <v>260</v>
      </c>
      <c r="BB96" s="52"/>
      <c r="BC96" s="52"/>
      <c r="BD96" s="52"/>
      <c r="BE96" s="52"/>
      <c r="BF96" s="52"/>
      <c r="BG96" s="52"/>
      <c r="BH96" s="52">
        <f>14.4</f>
        <v>14.4</v>
      </c>
      <c r="BI96" s="52"/>
      <c r="BJ96" s="53"/>
      <c r="BK96" s="53"/>
      <c r="BL96" s="53"/>
      <c r="BM96" s="53"/>
      <c r="BN96" s="53"/>
      <c r="BO96" s="53"/>
      <c r="BP96" s="53">
        <f>43.2+98.6+61.26+93.192+114.032+16.2+57.12+225.12</f>
        <v>708.7239999999999</v>
      </c>
      <c r="BQ96" s="53">
        <f>51+148+84+109</f>
        <v>392</v>
      </c>
      <c r="BR96" s="53">
        <f>118.8</f>
        <v>118.8</v>
      </c>
      <c r="BS96" s="53"/>
      <c r="BT96" s="53"/>
      <c r="BU96" s="53"/>
      <c r="BV96" s="53"/>
      <c r="BW96" s="53"/>
      <c r="BX96" s="53"/>
      <c r="BY96" s="53">
        <f>24</f>
        <v>24</v>
      </c>
      <c r="BZ96" s="54">
        <f t="shared" si="1"/>
        <v>2405.905</v>
      </c>
    </row>
    <row r="97" spans="1:78" s="42" customFormat="1" ht="17.25" customHeight="1">
      <c r="A97" s="39">
        <v>62</v>
      </c>
      <c r="B97" s="51" t="s">
        <v>114</v>
      </c>
      <c r="C97" s="64">
        <v>800</v>
      </c>
      <c r="D97" s="52">
        <f>40.346+32.203+60</f>
        <v>132.549</v>
      </c>
      <c r="E97" s="55"/>
      <c r="F97" s="52"/>
      <c r="G97" s="52"/>
      <c r="H97" s="52"/>
      <c r="I97" s="52"/>
      <c r="J97" s="69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>
        <f>154+11</f>
        <v>165</v>
      </c>
      <c r="AD97" s="52">
        <f>210</f>
        <v>210</v>
      </c>
      <c r="AE97" s="52"/>
      <c r="AF97" s="52"/>
      <c r="AG97" s="52"/>
      <c r="AH97" s="52"/>
      <c r="AI97" s="52"/>
      <c r="AJ97" s="52"/>
      <c r="AK97" s="52"/>
      <c r="AL97" s="52"/>
      <c r="AM97" s="52"/>
      <c r="AN97" s="52">
        <f>29.2</f>
        <v>29.2</v>
      </c>
      <c r="AO97" s="52"/>
      <c r="AP97" s="52"/>
      <c r="AQ97" s="52">
        <f>219</f>
        <v>219</v>
      </c>
      <c r="AR97" s="52"/>
      <c r="AS97" s="52"/>
      <c r="AT97" s="52">
        <f>48</f>
        <v>48</v>
      </c>
      <c r="AU97" s="52"/>
      <c r="AV97" s="52"/>
      <c r="AW97" s="52"/>
      <c r="AX97" s="52"/>
      <c r="AY97" s="52"/>
      <c r="AZ97" s="52">
        <f>150+19.152</f>
        <v>169.152</v>
      </c>
      <c r="BA97" s="52">
        <f>230+10</f>
        <v>240</v>
      </c>
      <c r="BB97" s="52"/>
      <c r="BC97" s="52">
        <f>90</f>
        <v>90</v>
      </c>
      <c r="BD97" s="52"/>
      <c r="BE97" s="52"/>
      <c r="BF97" s="52"/>
      <c r="BG97" s="52"/>
      <c r="BH97" s="52">
        <f>27</f>
        <v>27</v>
      </c>
      <c r="BI97" s="52"/>
      <c r="BJ97" s="53"/>
      <c r="BK97" s="53"/>
      <c r="BL97" s="53"/>
      <c r="BM97" s="53"/>
      <c r="BN97" s="53"/>
      <c r="BO97" s="53"/>
      <c r="BP97" s="53">
        <f>72+143.2+77.16+113.536+262.76+27+71.4+326.4</f>
        <v>1093.456</v>
      </c>
      <c r="BQ97" s="53">
        <f>255+175</f>
        <v>430</v>
      </c>
      <c r="BR97" s="53">
        <f>248.4</f>
        <v>248.4</v>
      </c>
      <c r="BS97" s="53"/>
      <c r="BT97" s="53"/>
      <c r="BU97" s="53"/>
      <c r="BV97" s="53"/>
      <c r="BW97" s="53"/>
      <c r="BX97" s="53"/>
      <c r="BY97" s="53">
        <f>24</f>
        <v>24</v>
      </c>
      <c r="BZ97" s="54">
        <f t="shared" si="1"/>
        <v>3125.757</v>
      </c>
    </row>
    <row r="98" spans="1:78" s="42" customFormat="1" ht="15" customHeight="1">
      <c r="A98" s="39">
        <v>63</v>
      </c>
      <c r="B98" s="51" t="s">
        <v>44</v>
      </c>
      <c r="C98" s="64">
        <v>800</v>
      </c>
      <c r="D98" s="52">
        <f>34.128+46.5+49.524+23.5</f>
        <v>153.652</v>
      </c>
      <c r="E98" s="52"/>
      <c r="F98" s="52"/>
      <c r="G98" s="52"/>
      <c r="H98" s="52"/>
      <c r="I98" s="52"/>
      <c r="J98" s="52"/>
      <c r="K98" s="52"/>
      <c r="L98" s="52">
        <f>9.91+0.66</f>
        <v>10.57</v>
      </c>
      <c r="M98" s="52">
        <f>17+13.38</f>
        <v>30.380000000000003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>
        <f>0.3</f>
        <v>0.3</v>
      </c>
      <c r="AA98" s="52"/>
      <c r="AB98" s="52"/>
      <c r="AC98" s="52">
        <f>62+18+33</f>
        <v>113</v>
      </c>
      <c r="AD98" s="52">
        <v>210</v>
      </c>
      <c r="AE98" s="52"/>
      <c r="AF98" s="52"/>
      <c r="AG98" s="52"/>
      <c r="AH98" s="52"/>
      <c r="AI98" s="52"/>
      <c r="AJ98" s="52"/>
      <c r="AK98" s="52"/>
      <c r="AL98" s="52"/>
      <c r="AM98" s="52"/>
      <c r="AN98" s="52">
        <f>38</f>
        <v>38</v>
      </c>
      <c r="AO98" s="52"/>
      <c r="AP98" s="52"/>
      <c r="AQ98" s="52">
        <f>219</f>
        <v>219</v>
      </c>
      <c r="AR98" s="52"/>
      <c r="AS98" s="52"/>
      <c r="AT98" s="52">
        <f>48</f>
        <v>48</v>
      </c>
      <c r="AU98" s="52"/>
      <c r="AV98" s="52"/>
      <c r="AW98" s="52"/>
      <c r="AX98" s="52"/>
      <c r="AY98" s="52"/>
      <c r="AZ98" s="52">
        <f>150+48.652</f>
        <v>198.652</v>
      </c>
      <c r="BA98" s="52">
        <f>320+10</f>
        <v>330</v>
      </c>
      <c r="BB98" s="52"/>
      <c r="BC98" s="52"/>
      <c r="BD98" s="52"/>
      <c r="BE98" s="52"/>
      <c r="BF98" s="52"/>
      <c r="BG98" s="52"/>
      <c r="BH98" s="52">
        <f>25.2</f>
        <v>25.2</v>
      </c>
      <c r="BI98" s="52"/>
      <c r="BJ98" s="53"/>
      <c r="BK98" s="53"/>
      <c r="BL98" s="53"/>
      <c r="BM98" s="53"/>
      <c r="BN98" s="53"/>
      <c r="BO98" s="53"/>
      <c r="BP98" s="53">
        <f>72+143.2+77.16+101.952+245+27+71.4+326.4</f>
        <v>1064.112</v>
      </c>
      <c r="BQ98" s="53">
        <f>60</f>
        <v>60</v>
      </c>
      <c r="BR98" s="53">
        <f>216</f>
        <v>216</v>
      </c>
      <c r="BS98" s="53"/>
      <c r="BT98" s="53"/>
      <c r="BU98" s="53"/>
      <c r="BV98" s="53"/>
      <c r="BW98" s="53"/>
      <c r="BX98" s="53"/>
      <c r="BY98" s="53">
        <f>24</f>
        <v>24</v>
      </c>
      <c r="BZ98" s="54">
        <f t="shared" si="1"/>
        <v>2740.866</v>
      </c>
    </row>
    <row r="99" spans="1:78" s="42" customFormat="1" ht="15" customHeight="1">
      <c r="A99" s="39">
        <v>64</v>
      </c>
      <c r="B99" s="51" t="s">
        <v>45</v>
      </c>
      <c r="C99" s="64">
        <v>320</v>
      </c>
      <c r="D99" s="52">
        <f>34.149+25+22.286</f>
        <v>81.435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>
        <f>9.6</f>
        <v>9.6</v>
      </c>
      <c r="U99" s="52"/>
      <c r="V99" s="52"/>
      <c r="W99" s="52"/>
      <c r="X99" s="52"/>
      <c r="Y99" s="52"/>
      <c r="Z99" s="52">
        <f>0.3</f>
        <v>0.3</v>
      </c>
      <c r="AA99" s="52"/>
      <c r="AB99" s="52"/>
      <c r="AC99" s="52">
        <f>23+20.5+20</f>
        <v>63.5</v>
      </c>
      <c r="AD99" s="52">
        <f>120</f>
        <v>120</v>
      </c>
      <c r="AE99" s="52">
        <f>73.3</f>
        <v>73.3</v>
      </c>
      <c r="AF99" s="52"/>
      <c r="AG99" s="52"/>
      <c r="AH99" s="52"/>
      <c r="AI99" s="52"/>
      <c r="AJ99" s="52"/>
      <c r="AK99" s="52"/>
      <c r="AL99" s="52"/>
      <c r="AM99" s="52"/>
      <c r="AN99" s="52">
        <f>26.3</f>
        <v>26.3</v>
      </c>
      <c r="AO99" s="52"/>
      <c r="AP99" s="52"/>
      <c r="AQ99" s="52">
        <f>149</f>
        <v>149</v>
      </c>
      <c r="AR99" s="52"/>
      <c r="AS99" s="52"/>
      <c r="AT99" s="52">
        <f>28.8</f>
        <v>28.8</v>
      </c>
      <c r="AU99" s="52"/>
      <c r="AV99" s="52"/>
      <c r="AW99" s="52"/>
      <c r="AX99" s="52"/>
      <c r="AY99" s="52"/>
      <c r="AZ99" s="52">
        <f>135+19.152</f>
        <v>154.152</v>
      </c>
      <c r="BA99" s="52">
        <f>260+10</f>
        <v>270</v>
      </c>
      <c r="BB99" s="52"/>
      <c r="BC99" s="52"/>
      <c r="BD99" s="52"/>
      <c r="BE99" s="52"/>
      <c r="BF99" s="52"/>
      <c r="BG99" s="52"/>
      <c r="BH99" s="52">
        <f>10.8</f>
        <v>10.8</v>
      </c>
      <c r="BI99" s="52"/>
      <c r="BJ99" s="53"/>
      <c r="BK99" s="53"/>
      <c r="BL99" s="53"/>
      <c r="BM99" s="53"/>
      <c r="BN99" s="53"/>
      <c r="BO99" s="53"/>
      <c r="BP99" s="53">
        <f>36+98.6+56.22+86.896+141.584+16.2+47.6+192.72</f>
        <v>675.82</v>
      </c>
      <c r="BQ99" s="53">
        <f>37.4+60</f>
        <v>97.4</v>
      </c>
      <c r="BR99" s="53">
        <f>108</f>
        <v>108</v>
      </c>
      <c r="BS99" s="53"/>
      <c r="BT99" s="53"/>
      <c r="BU99" s="53"/>
      <c r="BV99" s="53"/>
      <c r="BW99" s="53"/>
      <c r="BX99" s="53"/>
      <c r="BY99" s="53">
        <f>24</f>
        <v>24</v>
      </c>
      <c r="BZ99" s="54">
        <f t="shared" si="1"/>
        <v>1892.4070000000002</v>
      </c>
    </row>
    <row r="100" spans="1:78" s="42" customFormat="1" ht="15" customHeight="1">
      <c r="A100" s="39">
        <v>65</v>
      </c>
      <c r="B100" s="51" t="s">
        <v>46</v>
      </c>
      <c r="C100" s="64">
        <v>4568</v>
      </c>
      <c r="D100" s="52">
        <f>26+150.5+222.701+45.5+170.469+71.745+68.5+123+63.67+31+73.019</f>
        <v>1046.104</v>
      </c>
      <c r="E100" s="52">
        <f>10+31.119+2</f>
        <v>43.119</v>
      </c>
      <c r="F100" s="52">
        <f>97.564</f>
        <v>97.564</v>
      </c>
      <c r="G100" s="52"/>
      <c r="H100" s="52"/>
      <c r="I100" s="52"/>
      <c r="J100" s="52">
        <f>56</f>
        <v>56</v>
      </c>
      <c r="K100" s="52"/>
      <c r="L100" s="52">
        <f>0.295+111+114.3</f>
        <v>225.595</v>
      </c>
      <c r="M100" s="52">
        <f>52.42+136.7</f>
        <v>189.12</v>
      </c>
      <c r="N100" s="52"/>
      <c r="O100" s="52"/>
      <c r="P100" s="52">
        <f>1.255</f>
        <v>1.255</v>
      </c>
      <c r="Q100" s="52">
        <f>4.1</f>
        <v>4.1</v>
      </c>
      <c r="R100" s="52"/>
      <c r="S100" s="52"/>
      <c r="T100" s="52">
        <f>29.244+6+202.1+15</f>
        <v>252.344</v>
      </c>
      <c r="U100" s="52"/>
      <c r="V100" s="52"/>
      <c r="W100" s="52"/>
      <c r="X100" s="52"/>
      <c r="Y100" s="52"/>
      <c r="Z100" s="52">
        <f>0.3</f>
        <v>0.3</v>
      </c>
      <c r="AA100" s="52"/>
      <c r="AB100" s="52"/>
      <c r="AC100" s="52">
        <f>383.3+547.2+275+251+35</f>
        <v>1491.5</v>
      </c>
      <c r="AD100" s="52">
        <f>1500</f>
        <v>1500</v>
      </c>
      <c r="AE100" s="52"/>
      <c r="AF100" s="52"/>
      <c r="AG100" s="52"/>
      <c r="AH100" s="52"/>
      <c r="AI100" s="52">
        <f>12</f>
        <v>12</v>
      </c>
      <c r="AJ100" s="52">
        <f>69.63</f>
        <v>69.63</v>
      </c>
      <c r="AK100" s="52"/>
      <c r="AL100" s="52">
        <f>55.5+12.35</f>
        <v>67.85</v>
      </c>
      <c r="AM100" s="52"/>
      <c r="AN100" s="52">
        <f>82.8+311.8+156.9+62.75+23.1+111+41+152.9+72.3</f>
        <v>1014.55</v>
      </c>
      <c r="AO100" s="52"/>
      <c r="AP100" s="52"/>
      <c r="AQ100" s="52">
        <f>389</f>
        <v>389</v>
      </c>
      <c r="AR100" s="52">
        <f>51+109</f>
        <v>160</v>
      </c>
      <c r="AS100" s="52"/>
      <c r="AT100" s="52">
        <f>288</f>
        <v>288</v>
      </c>
      <c r="AU100" s="52"/>
      <c r="AV100" s="52"/>
      <c r="AW100" s="52"/>
      <c r="AX100" s="52">
        <f>111</f>
        <v>111</v>
      </c>
      <c r="AY100" s="52">
        <f>44.1</f>
        <v>44.1</v>
      </c>
      <c r="AZ100" s="52">
        <f>240+124.608</f>
        <v>364.608</v>
      </c>
      <c r="BA100" s="52">
        <f>541+50</f>
        <v>591</v>
      </c>
      <c r="BB100" s="52"/>
      <c r="BC100" s="52">
        <f>90</f>
        <v>90</v>
      </c>
      <c r="BD100" s="52"/>
      <c r="BE100" s="52"/>
      <c r="BF100" s="52"/>
      <c r="BG100" s="52"/>
      <c r="BH100" s="52">
        <f>190.8</f>
        <v>190.8</v>
      </c>
      <c r="BI100" s="52"/>
      <c r="BJ100" s="53">
        <f>13.9+427.25</f>
        <v>441.15</v>
      </c>
      <c r="BK100" s="53"/>
      <c r="BL100" s="53"/>
      <c r="BM100" s="53"/>
      <c r="BN100" s="53"/>
      <c r="BO100" s="53"/>
      <c r="BP100" s="53">
        <f>468+483.6+195.36+766.94+8111.68+145.8+666.4+2464.32</f>
        <v>13302.099999999999</v>
      </c>
      <c r="BQ100" s="53">
        <f>2033.18+1219+4887+1220.1+289+208+942.8+233</f>
        <v>11032.08</v>
      </c>
      <c r="BR100" s="53">
        <f>1890</f>
        <v>1890</v>
      </c>
      <c r="BS100" s="53"/>
      <c r="BT100" s="53">
        <f>1+100+127</f>
        <v>228</v>
      </c>
      <c r="BU100" s="53">
        <f>135+144.315</f>
        <v>279.315</v>
      </c>
      <c r="BV100" s="53"/>
      <c r="BW100" s="53"/>
      <c r="BX100" s="53"/>
      <c r="BY100" s="53">
        <f>96</f>
        <v>96</v>
      </c>
      <c r="BZ100" s="54">
        <f t="shared" si="1"/>
        <v>35568.184</v>
      </c>
    </row>
    <row r="101" spans="1:78" s="42" customFormat="1" ht="15" customHeight="1">
      <c r="A101" s="39">
        <v>66</v>
      </c>
      <c r="B101" s="51" t="s">
        <v>47</v>
      </c>
      <c r="C101" s="63">
        <v>560</v>
      </c>
      <c r="D101" s="52">
        <f>17.786</f>
        <v>17.786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>
        <f>8.5</f>
        <v>8.5</v>
      </c>
      <c r="U101" s="52"/>
      <c r="V101" s="52"/>
      <c r="W101" s="52"/>
      <c r="X101" s="52"/>
      <c r="Y101" s="52"/>
      <c r="Z101" s="52">
        <f>0.3</f>
        <v>0.3</v>
      </c>
      <c r="AA101" s="52"/>
      <c r="AB101" s="52"/>
      <c r="AC101" s="52">
        <f>125+18</f>
        <v>143</v>
      </c>
      <c r="AD101" s="52">
        <f>150</f>
        <v>150</v>
      </c>
      <c r="AE101" s="52"/>
      <c r="AF101" s="52"/>
      <c r="AG101" s="52"/>
      <c r="AH101" s="52"/>
      <c r="AI101" s="52"/>
      <c r="AJ101" s="52"/>
      <c r="AK101" s="52"/>
      <c r="AL101" s="52"/>
      <c r="AM101" s="52"/>
      <c r="AN101" s="52">
        <f>68.5</f>
        <v>68.5</v>
      </c>
      <c r="AO101" s="52"/>
      <c r="AP101" s="52"/>
      <c r="AQ101" s="52">
        <f>147</f>
        <v>147</v>
      </c>
      <c r="AR101" s="52"/>
      <c r="AS101" s="52"/>
      <c r="AT101" s="52">
        <f>38.4</f>
        <v>38.4</v>
      </c>
      <c r="AU101" s="52"/>
      <c r="AV101" s="52"/>
      <c r="AW101" s="52"/>
      <c r="AX101" s="52"/>
      <c r="AY101" s="52"/>
      <c r="AZ101" s="52">
        <f>135+19.152</f>
        <v>154.152</v>
      </c>
      <c r="BA101" s="52">
        <f>340+40</f>
        <v>380</v>
      </c>
      <c r="BB101" s="52"/>
      <c r="BC101" s="52"/>
      <c r="BD101" s="52"/>
      <c r="BE101" s="52"/>
      <c r="BF101" s="52"/>
      <c r="BG101" s="52"/>
      <c r="BH101" s="52">
        <f>18</f>
        <v>18</v>
      </c>
      <c r="BI101" s="52"/>
      <c r="BJ101" s="53"/>
      <c r="BK101" s="53"/>
      <c r="BL101" s="53"/>
      <c r="BM101" s="53"/>
      <c r="BN101" s="53"/>
      <c r="BO101" s="53"/>
      <c r="BP101" s="53">
        <f>57.6+143.2+71.76+107.352+162.152+16.2+57.12+280.02</f>
        <v>895.4040000000001</v>
      </c>
      <c r="BQ101" s="53">
        <f>149</f>
        <v>149</v>
      </c>
      <c r="BR101" s="53">
        <f>172.8</f>
        <v>172.8</v>
      </c>
      <c r="BS101" s="53"/>
      <c r="BT101" s="53"/>
      <c r="BU101" s="53"/>
      <c r="BV101" s="53"/>
      <c r="BW101" s="53"/>
      <c r="BX101" s="53"/>
      <c r="BY101" s="53">
        <f>24</f>
        <v>24</v>
      </c>
      <c r="BZ101" s="54">
        <f aca="true" t="shared" si="3" ref="BZ101:BZ126">SUM(D101:BY101)</f>
        <v>2366.842</v>
      </c>
    </row>
    <row r="102" spans="1:78" s="42" customFormat="1" ht="15" customHeight="1">
      <c r="A102" s="39">
        <v>67</v>
      </c>
      <c r="B102" s="51" t="s">
        <v>48</v>
      </c>
      <c r="C102" s="64">
        <v>26</v>
      </c>
      <c r="D102" s="52">
        <f>24.5+103.145+138.094+31+27.724+85.785+12.968+13.5+54.863+72.116+83.369</f>
        <v>647.064</v>
      </c>
      <c r="E102" s="52"/>
      <c r="F102" s="52"/>
      <c r="G102" s="52"/>
      <c r="H102" s="52"/>
      <c r="I102" s="52"/>
      <c r="J102" s="52">
        <f>0.5</f>
        <v>0.5</v>
      </c>
      <c r="K102" s="52"/>
      <c r="L102" s="52">
        <f>0.36+1.9+3.24+6.5</f>
        <v>12</v>
      </c>
      <c r="M102" s="52">
        <f>10.2+24.4</f>
        <v>34.599999999999994</v>
      </c>
      <c r="N102" s="52"/>
      <c r="O102" s="52"/>
      <c r="P102" s="52"/>
      <c r="Q102" s="52"/>
      <c r="R102" s="52"/>
      <c r="S102" s="52"/>
      <c r="T102" s="52">
        <f>14.6+47.3+72.8</f>
        <v>134.7</v>
      </c>
      <c r="U102" s="52"/>
      <c r="V102" s="52"/>
      <c r="W102" s="52"/>
      <c r="X102" s="52"/>
      <c r="Y102" s="52"/>
      <c r="Z102" s="52">
        <f>0.3</f>
        <v>0.3</v>
      </c>
      <c r="AA102" s="52"/>
      <c r="AB102" s="52"/>
      <c r="AC102" s="52">
        <f>226.26+192.7+34+83</f>
        <v>535.96</v>
      </c>
      <c r="AD102" s="52">
        <f>30</f>
        <v>30</v>
      </c>
      <c r="AE102" s="52"/>
      <c r="AF102" s="52"/>
      <c r="AG102" s="52"/>
      <c r="AH102" s="52"/>
      <c r="AI102" s="52"/>
      <c r="AJ102" s="52"/>
      <c r="AK102" s="52"/>
      <c r="AL102" s="52"/>
      <c r="AM102" s="52"/>
      <c r="AN102" s="52">
        <f>26.5+18+28.79+36.3+79.65+87.5</f>
        <v>276.74</v>
      </c>
      <c r="AO102" s="52"/>
      <c r="AP102" s="52"/>
      <c r="AQ102" s="52">
        <f>96</f>
        <v>96</v>
      </c>
      <c r="AR102" s="52"/>
      <c r="AS102" s="52"/>
      <c r="AT102" s="52">
        <f>14.4</f>
        <v>14.4</v>
      </c>
      <c r="AU102" s="52"/>
      <c r="AV102" s="52"/>
      <c r="AW102" s="52"/>
      <c r="AX102" s="52"/>
      <c r="AY102" s="52">
        <f>2.6</f>
        <v>2.6</v>
      </c>
      <c r="AZ102" s="52">
        <f>75+19.152</f>
        <v>94.152</v>
      </c>
      <c r="BA102" s="52">
        <f>120+10+20</f>
        <v>150</v>
      </c>
      <c r="BB102" s="52"/>
      <c r="BC102" s="52"/>
      <c r="BD102" s="52"/>
      <c r="BE102" s="52"/>
      <c r="BF102" s="52"/>
      <c r="BG102" s="52"/>
      <c r="BH102" s="52">
        <f>37.4</f>
        <v>37.4</v>
      </c>
      <c r="BI102" s="52"/>
      <c r="BJ102" s="53">
        <f>13+114.4</f>
        <v>127.4</v>
      </c>
      <c r="BK102" s="53"/>
      <c r="BL102" s="53"/>
      <c r="BM102" s="53">
        <f>2.8+34.6</f>
        <v>37.4</v>
      </c>
      <c r="BN102" s="53"/>
      <c r="BO102" s="53"/>
      <c r="BP102" s="53">
        <f>14.4+78.8+33.18+45.348+38.632+5.4+38.08+88.2</f>
        <v>342.04</v>
      </c>
      <c r="BQ102" s="53">
        <f>76.5+75+50</f>
        <v>201.5</v>
      </c>
      <c r="BR102" s="53">
        <f>16.2</f>
        <v>16.2</v>
      </c>
      <c r="BS102" s="53"/>
      <c r="BT102" s="53"/>
      <c r="BU102" s="53"/>
      <c r="BV102" s="53"/>
      <c r="BW102" s="53"/>
      <c r="BX102" s="53"/>
      <c r="BY102" s="53">
        <f>24</f>
        <v>24</v>
      </c>
      <c r="BZ102" s="54">
        <f t="shared" si="3"/>
        <v>2814.956</v>
      </c>
    </row>
    <row r="103" spans="1:78" s="42" customFormat="1" ht="15" customHeight="1">
      <c r="A103" s="39">
        <v>68</v>
      </c>
      <c r="B103" s="57" t="s">
        <v>98</v>
      </c>
      <c r="C103" s="63">
        <v>400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>
        <f>90</f>
        <v>90</v>
      </c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>
        <f>124</f>
        <v>124</v>
      </c>
      <c r="AR103" s="52"/>
      <c r="AS103" s="52"/>
      <c r="AT103" s="52">
        <f>14.4</f>
        <v>14.4</v>
      </c>
      <c r="AU103" s="52"/>
      <c r="AV103" s="52"/>
      <c r="AW103" s="52"/>
      <c r="AX103" s="52"/>
      <c r="AY103" s="52"/>
      <c r="AZ103" s="52">
        <f>75+19.152</f>
        <v>94.152</v>
      </c>
      <c r="BA103" s="52">
        <f>30+40+20</f>
        <v>90</v>
      </c>
      <c r="BB103" s="52"/>
      <c r="BC103" s="52">
        <f>110</f>
        <v>110</v>
      </c>
      <c r="BD103" s="52"/>
      <c r="BE103" s="52"/>
      <c r="BF103" s="52"/>
      <c r="BG103" s="52"/>
      <c r="BH103" s="52">
        <f>10.8</f>
        <v>10.8</v>
      </c>
      <c r="BI103" s="52"/>
      <c r="BJ103" s="53"/>
      <c r="BK103" s="53"/>
      <c r="BL103" s="53"/>
      <c r="BM103" s="53"/>
      <c r="BN103" s="53"/>
      <c r="BO103" s="53"/>
      <c r="BP103" s="53">
        <f>14.4+71.6+43.62+45.924+96.272+16.2+57.12+250.8</f>
        <v>595.936</v>
      </c>
      <c r="BQ103" s="53"/>
      <c r="BR103" s="53">
        <f>16.2</f>
        <v>16.2</v>
      </c>
      <c r="BS103" s="53"/>
      <c r="BT103" s="53"/>
      <c r="BU103" s="53"/>
      <c r="BV103" s="53"/>
      <c r="BW103" s="53"/>
      <c r="BX103" s="53"/>
      <c r="BY103" s="53">
        <f>24</f>
        <v>24</v>
      </c>
      <c r="BZ103" s="54">
        <f t="shared" si="3"/>
        <v>1169.488</v>
      </c>
    </row>
    <row r="104" spans="1:78" s="42" customFormat="1" ht="15" customHeight="1">
      <c r="A104" s="39">
        <v>69</v>
      </c>
      <c r="B104" s="45" t="s">
        <v>49</v>
      </c>
      <c r="C104" s="64">
        <v>150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>
        <f>72</f>
        <v>72</v>
      </c>
      <c r="AU104" s="40"/>
      <c r="AV104" s="40"/>
      <c r="AW104" s="40"/>
      <c r="AX104" s="40"/>
      <c r="AY104" s="40"/>
      <c r="AZ104" s="40">
        <f>150+21</f>
        <v>171</v>
      </c>
      <c r="BA104" s="40">
        <f>200</f>
        <v>200</v>
      </c>
      <c r="BB104" s="40"/>
      <c r="BC104" s="40"/>
      <c r="BD104" s="40"/>
      <c r="BE104" s="40"/>
      <c r="BF104" s="40"/>
      <c r="BG104" s="40"/>
      <c r="BH104" s="40">
        <f>98</f>
        <v>98</v>
      </c>
      <c r="BI104" s="40"/>
      <c r="BJ104" s="41"/>
      <c r="BK104" s="41"/>
      <c r="BL104" s="41"/>
      <c r="BM104" s="41"/>
      <c r="BN104" s="41"/>
      <c r="BO104" s="41"/>
      <c r="BP104" s="41">
        <f>43.2+162+102.78+96.24+57.12+153.36</f>
        <v>614.7</v>
      </c>
      <c r="BQ104" s="41">
        <f>114</f>
        <v>114</v>
      </c>
      <c r="BR104" s="41"/>
      <c r="BS104" s="41"/>
      <c r="BT104" s="41"/>
      <c r="BU104" s="41"/>
      <c r="BV104" s="41"/>
      <c r="BW104" s="41"/>
      <c r="BX104" s="41"/>
      <c r="BY104" s="41">
        <f>24</f>
        <v>24</v>
      </c>
      <c r="BZ104" s="54">
        <f t="shared" si="3"/>
        <v>1293.7</v>
      </c>
    </row>
    <row r="105" spans="1:78" s="42" customFormat="1" ht="15" customHeight="1">
      <c r="A105" s="39">
        <v>70</v>
      </c>
      <c r="B105" s="51" t="s">
        <v>50</v>
      </c>
      <c r="C105" s="64">
        <v>1424</v>
      </c>
      <c r="D105" s="52">
        <f>31.698+28.28+63</f>
        <v>122.97800000000001</v>
      </c>
      <c r="E105" s="52"/>
      <c r="F105" s="52"/>
      <c r="G105" s="52"/>
      <c r="H105" s="52"/>
      <c r="I105" s="52"/>
      <c r="J105" s="52"/>
      <c r="K105" s="52"/>
      <c r="L105" s="52">
        <f>2.69+11</f>
        <v>13.69</v>
      </c>
      <c r="M105" s="52">
        <f>102.2</f>
        <v>102.2</v>
      </c>
      <c r="N105" s="52"/>
      <c r="O105" s="52"/>
      <c r="P105" s="52"/>
      <c r="Q105" s="52"/>
      <c r="R105" s="52"/>
      <c r="S105" s="52"/>
      <c r="T105" s="52">
        <v>0</v>
      </c>
      <c r="U105" s="52"/>
      <c r="V105" s="52"/>
      <c r="W105" s="52"/>
      <c r="X105" s="52"/>
      <c r="Y105" s="52"/>
      <c r="Z105" s="52">
        <f>0.3</f>
        <v>0.3</v>
      </c>
      <c r="AA105" s="52"/>
      <c r="AB105" s="52"/>
      <c r="AC105" s="52">
        <f>164+10</f>
        <v>174</v>
      </c>
      <c r="AD105" s="52">
        <f>375</f>
        <v>375</v>
      </c>
      <c r="AE105" s="52"/>
      <c r="AF105" s="52"/>
      <c r="AG105" s="52"/>
      <c r="AH105" s="52"/>
      <c r="AI105" s="52"/>
      <c r="AJ105" s="52"/>
      <c r="AK105" s="52"/>
      <c r="AL105" s="52"/>
      <c r="AM105" s="52"/>
      <c r="AN105" s="52">
        <f>28</f>
        <v>28</v>
      </c>
      <c r="AO105" s="52"/>
      <c r="AP105" s="52"/>
      <c r="AQ105" s="52">
        <f>217</f>
        <v>217</v>
      </c>
      <c r="AR105" s="52"/>
      <c r="AS105" s="52"/>
      <c r="AT105" s="52">
        <f>57.6</f>
        <v>57.6</v>
      </c>
      <c r="AU105" s="52"/>
      <c r="AV105" s="52"/>
      <c r="AW105" s="52"/>
      <c r="AX105" s="52"/>
      <c r="AY105" s="52"/>
      <c r="AZ105" s="52">
        <f>210+19.152</f>
        <v>229.152</v>
      </c>
      <c r="BA105" s="52">
        <f>420+10</f>
        <v>430</v>
      </c>
      <c r="BB105" s="52"/>
      <c r="BC105" s="52"/>
      <c r="BD105" s="52"/>
      <c r="BE105" s="52"/>
      <c r="BF105" s="52"/>
      <c r="BG105" s="52"/>
      <c r="BH105" s="52">
        <f>43.2</f>
        <v>43.2</v>
      </c>
      <c r="BI105" s="52"/>
      <c r="BJ105" s="53"/>
      <c r="BK105" s="53"/>
      <c r="BL105" s="53"/>
      <c r="BM105" s="53"/>
      <c r="BN105" s="53"/>
      <c r="BO105" s="53"/>
      <c r="BP105" s="53">
        <f>201.6+143.2+94.44+147.624+266.12+27+95.2+592.68</f>
        <v>1567.864</v>
      </c>
      <c r="BQ105" s="53">
        <f>60</f>
        <v>60</v>
      </c>
      <c r="BR105" s="53">
        <f>324</f>
        <v>324</v>
      </c>
      <c r="BS105" s="53"/>
      <c r="BT105" s="53"/>
      <c r="BU105" s="53"/>
      <c r="BV105" s="53"/>
      <c r="BW105" s="53"/>
      <c r="BX105" s="53"/>
      <c r="BY105" s="53">
        <f>36</f>
        <v>36</v>
      </c>
      <c r="BZ105" s="54">
        <f t="shared" si="3"/>
        <v>3780.9840000000004</v>
      </c>
    </row>
    <row r="106" spans="1:78" s="42" customFormat="1" ht="15" customHeight="1">
      <c r="A106" s="39">
        <v>71</v>
      </c>
      <c r="B106" s="51" t="s">
        <v>96</v>
      </c>
      <c r="C106" s="64">
        <v>1200</v>
      </c>
      <c r="D106" s="52">
        <f>24.162+35.553+43.603</f>
        <v>103.318</v>
      </c>
      <c r="E106" s="52"/>
      <c r="F106" s="52"/>
      <c r="G106" s="52"/>
      <c r="H106" s="52"/>
      <c r="I106" s="52"/>
      <c r="J106" s="52"/>
      <c r="K106" s="52"/>
      <c r="L106" s="52">
        <f>4.455+6.5</f>
        <v>10.955</v>
      </c>
      <c r="M106" s="52">
        <f>38.97+6</f>
        <v>44.97</v>
      </c>
      <c r="N106" s="52"/>
      <c r="O106" s="52"/>
      <c r="P106" s="52"/>
      <c r="Q106" s="52"/>
      <c r="R106" s="52"/>
      <c r="S106" s="52"/>
      <c r="T106" s="52">
        <f>14.8+8+8</f>
        <v>30.8</v>
      </c>
      <c r="U106" s="52"/>
      <c r="V106" s="52"/>
      <c r="W106" s="52"/>
      <c r="X106" s="52"/>
      <c r="Y106" s="52"/>
      <c r="Z106" s="52">
        <f>0.3</f>
        <v>0.3</v>
      </c>
      <c r="AA106" s="52"/>
      <c r="AB106" s="52"/>
      <c r="AC106" s="61">
        <f>247.5+122+5.7</f>
        <v>375.2</v>
      </c>
      <c r="AD106" s="61">
        <f>300</f>
        <v>300</v>
      </c>
      <c r="AE106" s="52"/>
      <c r="AF106" s="61"/>
      <c r="AG106" s="61"/>
      <c r="AH106" s="61"/>
      <c r="AI106" s="61"/>
      <c r="AJ106" s="61"/>
      <c r="AK106" s="61"/>
      <c r="AL106" s="61"/>
      <c r="AM106" s="61"/>
      <c r="AN106" s="52"/>
      <c r="AO106" s="52"/>
      <c r="AP106" s="52"/>
      <c r="AQ106" s="52">
        <f>153</f>
        <v>153</v>
      </c>
      <c r="AR106" s="52"/>
      <c r="AS106" s="52"/>
      <c r="AT106" s="52">
        <f>96</f>
        <v>96</v>
      </c>
      <c r="AU106" s="52"/>
      <c r="AV106" s="52"/>
      <c r="AW106" s="52"/>
      <c r="AX106" s="52"/>
      <c r="AY106" s="52"/>
      <c r="AZ106" s="52">
        <f>210+19.152</f>
        <v>229.152</v>
      </c>
      <c r="BA106" s="52">
        <f>420+10</f>
        <v>430</v>
      </c>
      <c r="BB106" s="52"/>
      <c r="BC106" s="52"/>
      <c r="BD106" s="52"/>
      <c r="BE106" s="52"/>
      <c r="BF106" s="52"/>
      <c r="BG106" s="52"/>
      <c r="BH106" s="52">
        <f>36</f>
        <v>36</v>
      </c>
      <c r="BI106" s="52"/>
      <c r="BJ106" s="53"/>
      <c r="BK106" s="53"/>
      <c r="BL106" s="53"/>
      <c r="BM106" s="53"/>
      <c r="BN106" s="53"/>
      <c r="BO106" s="53"/>
      <c r="BP106" s="53">
        <f>108+224.2+105.3+201.651+509.32+27+95.2+552.18</f>
        <v>1822.851</v>
      </c>
      <c r="BQ106" s="53">
        <f>274.8</f>
        <v>274.8</v>
      </c>
      <c r="BR106" s="53">
        <f>432</f>
        <v>432</v>
      </c>
      <c r="BS106" s="53"/>
      <c r="BT106" s="53"/>
      <c r="BU106" s="53"/>
      <c r="BV106" s="53"/>
      <c r="BW106" s="53"/>
      <c r="BX106" s="53"/>
      <c r="BY106" s="53">
        <f>36</f>
        <v>36</v>
      </c>
      <c r="BZ106" s="54">
        <f t="shared" si="3"/>
        <v>4375.3460000000005</v>
      </c>
    </row>
    <row r="107" spans="1:78" s="43" customFormat="1" ht="15" customHeight="1">
      <c r="A107" s="39">
        <v>72</v>
      </c>
      <c r="B107" s="51" t="s">
        <v>51</v>
      </c>
      <c r="C107" s="64">
        <v>65</v>
      </c>
      <c r="D107" s="59">
        <f>31.672+154.074+150.463+74.5+71.454+34.5+18+3.85+30.914+24.5+55.496</f>
        <v>649.423</v>
      </c>
      <c r="E107" s="59">
        <f>2.5+0.8</f>
        <v>3.3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>
        <f>2.5</f>
        <v>2.5</v>
      </c>
      <c r="R107" s="59"/>
      <c r="S107" s="59">
        <f>25.55</f>
        <v>25.55</v>
      </c>
      <c r="T107" s="59"/>
      <c r="U107" s="59"/>
      <c r="V107" s="59"/>
      <c r="W107" s="59"/>
      <c r="X107" s="59"/>
      <c r="Y107" s="59"/>
      <c r="Z107" s="59">
        <f>0.3</f>
        <v>0.3</v>
      </c>
      <c r="AA107" s="59"/>
      <c r="AB107" s="59"/>
      <c r="AC107" s="59">
        <f>63+261.6+142+51+20.5</f>
        <v>538.1</v>
      </c>
      <c r="AD107" s="59">
        <f>45</f>
        <v>45</v>
      </c>
      <c r="AE107" s="59"/>
      <c r="AF107" s="59"/>
      <c r="AG107" s="59"/>
      <c r="AH107" s="59"/>
      <c r="AI107" s="59"/>
      <c r="AJ107" s="59"/>
      <c r="AK107" s="59">
        <f>0.9</f>
        <v>0.9</v>
      </c>
      <c r="AL107" s="59"/>
      <c r="AM107" s="59"/>
      <c r="AN107" s="59">
        <f>259.5+91.8+41.5+98.5+71.5+113.2+62.1</f>
        <v>738.1</v>
      </c>
      <c r="AO107" s="59"/>
      <c r="AP107" s="59"/>
      <c r="AQ107" s="59">
        <f>8</f>
        <v>8</v>
      </c>
      <c r="AR107" s="59"/>
      <c r="AS107" s="59"/>
      <c r="AT107" s="59">
        <f>14.4</f>
        <v>14.4</v>
      </c>
      <c r="AU107" s="59"/>
      <c r="AV107" s="59"/>
      <c r="AW107" s="59"/>
      <c r="AX107" s="59">
        <f>77.5</f>
        <v>77.5</v>
      </c>
      <c r="AY107" s="59">
        <f>27.7</f>
        <v>27.7</v>
      </c>
      <c r="AZ107" s="59">
        <f>105+19.152</f>
        <v>124.152</v>
      </c>
      <c r="BA107" s="59">
        <f>130+10+20</f>
        <v>160</v>
      </c>
      <c r="BB107" s="59"/>
      <c r="BC107" s="59"/>
      <c r="BD107" s="59"/>
      <c r="BE107" s="59"/>
      <c r="BF107" s="59"/>
      <c r="BG107" s="59"/>
      <c r="BH107" s="59">
        <f>57</f>
        <v>57</v>
      </c>
      <c r="BI107" s="59"/>
      <c r="BJ107" s="58">
        <f>12.5+213.73</f>
        <v>226.23</v>
      </c>
      <c r="BK107" s="58"/>
      <c r="BL107" s="58"/>
      <c r="BM107" s="58"/>
      <c r="BN107" s="58"/>
      <c r="BO107" s="58"/>
      <c r="BP107" s="58">
        <f>14.4+94.8+33.54+44.032+5.4+47.6+99.84</f>
        <v>339.61199999999997</v>
      </c>
      <c r="BQ107" s="58">
        <f>76+169+123+75+125.3+73</f>
        <v>641.3</v>
      </c>
      <c r="BR107" s="58"/>
      <c r="BS107" s="58"/>
      <c r="BT107" s="58"/>
      <c r="BU107" s="58"/>
      <c r="BV107" s="58">
        <f>20</f>
        <v>20</v>
      </c>
      <c r="BW107" s="58"/>
      <c r="BX107" s="58"/>
      <c r="BY107" s="58">
        <f>24</f>
        <v>24</v>
      </c>
      <c r="BZ107" s="54">
        <f t="shared" si="3"/>
        <v>3723.067</v>
      </c>
    </row>
    <row r="108" spans="1:78" s="42" customFormat="1" ht="15" customHeight="1">
      <c r="A108" s="39">
        <v>73</v>
      </c>
      <c r="B108" s="51" t="s">
        <v>94</v>
      </c>
      <c r="C108" s="64">
        <v>160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>
        <f>0.3</f>
        <v>0.3</v>
      </c>
      <c r="AA108" s="52"/>
      <c r="AB108" s="52"/>
      <c r="AC108" s="52">
        <f>89.7+75.5+3.76</f>
        <v>168.95999999999998</v>
      </c>
      <c r="AD108" s="52">
        <f>60</f>
        <v>60</v>
      </c>
      <c r="AE108" s="52"/>
      <c r="AF108" s="52"/>
      <c r="AG108" s="52"/>
      <c r="AH108" s="52"/>
      <c r="AI108" s="52"/>
      <c r="AJ108" s="52"/>
      <c r="AK108" s="52"/>
      <c r="AL108" s="52"/>
      <c r="AM108" s="52"/>
      <c r="AN108" s="52">
        <f>9.6</f>
        <v>9.6</v>
      </c>
      <c r="AO108" s="52"/>
      <c r="AP108" s="52"/>
      <c r="AQ108" s="52">
        <f>110</f>
        <v>110</v>
      </c>
      <c r="AR108" s="52"/>
      <c r="AS108" s="52"/>
      <c r="AT108" s="52"/>
      <c r="AU108" s="52"/>
      <c r="AV108" s="52"/>
      <c r="AW108" s="52"/>
      <c r="AX108" s="52"/>
      <c r="AY108" s="52"/>
      <c r="AZ108" s="52">
        <f>105+19.152</f>
        <v>124.152</v>
      </c>
      <c r="BA108" s="52">
        <f>130+10</f>
        <v>140</v>
      </c>
      <c r="BB108" s="52"/>
      <c r="BC108" s="52"/>
      <c r="BD108" s="52"/>
      <c r="BE108" s="52"/>
      <c r="BF108" s="52"/>
      <c r="BG108" s="52"/>
      <c r="BH108" s="52">
        <f>9</f>
        <v>9</v>
      </c>
      <c r="BI108" s="52"/>
      <c r="BJ108" s="53"/>
      <c r="BK108" s="53"/>
      <c r="BL108" s="53"/>
      <c r="BM108" s="53"/>
      <c r="BN108" s="53"/>
      <c r="BO108" s="53"/>
      <c r="BP108" s="53">
        <f>14.4+71.6+38.58+42.128+60.232+10.8+38.08+114.24</f>
        <v>390.06</v>
      </c>
      <c r="BQ108" s="53">
        <f>60</f>
        <v>60</v>
      </c>
      <c r="BR108" s="53">
        <f>54</f>
        <v>54</v>
      </c>
      <c r="BS108" s="53"/>
      <c r="BT108" s="53"/>
      <c r="BU108" s="53"/>
      <c r="BV108" s="53"/>
      <c r="BW108" s="53"/>
      <c r="BX108" s="53"/>
      <c r="BY108" s="53">
        <f>36</f>
        <v>36</v>
      </c>
      <c r="BZ108" s="54">
        <f t="shared" si="3"/>
        <v>1162.072</v>
      </c>
    </row>
    <row r="109" spans="1:78" s="42" customFormat="1" ht="15" customHeight="1">
      <c r="A109" s="39">
        <v>74</v>
      </c>
      <c r="B109" s="51" t="s">
        <v>104</v>
      </c>
      <c r="C109" s="64">
        <v>800</v>
      </c>
      <c r="D109" s="52">
        <f>41+69.896+59.96</f>
        <v>170.856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>
        <f>20</f>
        <v>20</v>
      </c>
      <c r="AD109" s="52">
        <f>210</f>
        <v>210</v>
      </c>
      <c r="AE109" s="52"/>
      <c r="AF109" s="52"/>
      <c r="AG109" s="52"/>
      <c r="AH109" s="52"/>
      <c r="AI109" s="52"/>
      <c r="AJ109" s="52"/>
      <c r="AK109" s="52"/>
      <c r="AL109" s="52"/>
      <c r="AM109" s="52"/>
      <c r="AN109" s="52">
        <f>51.9</f>
        <v>51.9</v>
      </c>
      <c r="AO109" s="52"/>
      <c r="AP109" s="52"/>
      <c r="AQ109" s="52">
        <f>90</f>
        <v>90</v>
      </c>
      <c r="AR109" s="52"/>
      <c r="AS109" s="52"/>
      <c r="AT109" s="52">
        <f>57.6</f>
        <v>57.6</v>
      </c>
      <c r="AU109" s="52"/>
      <c r="AV109" s="52"/>
      <c r="AW109" s="52"/>
      <c r="AX109" s="52"/>
      <c r="AY109" s="52"/>
      <c r="AZ109" s="52">
        <f>150</f>
        <v>150</v>
      </c>
      <c r="BA109" s="52">
        <f>320+10</f>
        <v>330</v>
      </c>
      <c r="BB109" s="52"/>
      <c r="BC109" s="52"/>
      <c r="BD109" s="52"/>
      <c r="BE109" s="52"/>
      <c r="BF109" s="52"/>
      <c r="BG109" s="52"/>
      <c r="BH109" s="52"/>
      <c r="BI109" s="52"/>
      <c r="BJ109" s="53"/>
      <c r="BK109" s="53"/>
      <c r="BL109" s="53"/>
      <c r="BM109" s="53"/>
      <c r="BN109" s="53"/>
      <c r="BO109" s="53"/>
      <c r="BP109" s="53">
        <f>86.4+143.2+94.44+150.32+27+308.64</f>
        <v>810</v>
      </c>
      <c r="BQ109" s="53">
        <f>133.5+75</f>
        <v>208.5</v>
      </c>
      <c r="BR109" s="53"/>
      <c r="BS109" s="53"/>
      <c r="BT109" s="53"/>
      <c r="BU109" s="53"/>
      <c r="BV109" s="53"/>
      <c r="BW109" s="53"/>
      <c r="BX109" s="53"/>
      <c r="BY109" s="53">
        <f>36</f>
        <v>36</v>
      </c>
      <c r="BZ109" s="54">
        <f t="shared" si="3"/>
        <v>2134.8559999999998</v>
      </c>
    </row>
    <row r="110" spans="1:78" s="42" customFormat="1" ht="17.25" customHeight="1">
      <c r="A110" s="39">
        <v>75</v>
      </c>
      <c r="B110" s="51" t="s">
        <v>71</v>
      </c>
      <c r="C110" s="64">
        <v>1052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>
        <f>375</f>
        <v>375</v>
      </c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>
        <f>313</f>
        <v>313</v>
      </c>
      <c r="AR110" s="40"/>
      <c r="AS110" s="40"/>
      <c r="AT110" s="40">
        <f>115.2</f>
        <v>115.2</v>
      </c>
      <c r="AU110" s="40"/>
      <c r="AV110" s="40"/>
      <c r="AW110" s="40"/>
      <c r="AX110" s="40"/>
      <c r="AY110" s="40"/>
      <c r="AZ110" s="40">
        <f>210</f>
        <v>210</v>
      </c>
      <c r="BA110" s="40">
        <f>300+20</f>
        <v>320</v>
      </c>
      <c r="BB110" s="40"/>
      <c r="BC110" s="40"/>
      <c r="BD110" s="40"/>
      <c r="BE110" s="40"/>
      <c r="BF110" s="40"/>
      <c r="BG110" s="40"/>
      <c r="BH110" s="40">
        <f>117</f>
        <v>117</v>
      </c>
      <c r="BI110" s="40"/>
      <c r="BJ110" s="41"/>
      <c r="BK110" s="41"/>
      <c r="BL110" s="41"/>
      <c r="BM110" s="41"/>
      <c r="BN110" s="41"/>
      <c r="BO110" s="41"/>
      <c r="BP110" s="41">
        <f>216+189+87.9+250.464+731.6+238+1138.44</f>
        <v>2851.404</v>
      </c>
      <c r="BQ110" s="41">
        <f>225+224</f>
        <v>449</v>
      </c>
      <c r="BR110" s="41">
        <f>378</f>
        <v>378</v>
      </c>
      <c r="BS110" s="41"/>
      <c r="BT110" s="41"/>
      <c r="BU110" s="41"/>
      <c r="BV110" s="41"/>
      <c r="BW110" s="41"/>
      <c r="BX110" s="41"/>
      <c r="BY110" s="41">
        <f>24</f>
        <v>24</v>
      </c>
      <c r="BZ110" s="54">
        <f t="shared" si="3"/>
        <v>5152.604</v>
      </c>
    </row>
    <row r="111" spans="1:78" s="42" customFormat="1" ht="17.25" customHeight="1">
      <c r="A111" s="39">
        <v>76</v>
      </c>
      <c r="B111" s="51" t="s">
        <v>128</v>
      </c>
      <c r="C111" s="63">
        <v>30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>
        <f>376</f>
        <v>376</v>
      </c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3">
        <v>8</v>
      </c>
      <c r="BU111" s="53"/>
      <c r="BV111" s="53"/>
      <c r="BW111" s="53"/>
      <c r="BX111" s="53"/>
      <c r="BY111" s="53"/>
      <c r="BZ111" s="54">
        <f t="shared" si="3"/>
        <v>384</v>
      </c>
    </row>
    <row r="112" spans="1:78" s="42" customFormat="1" ht="17.25" customHeight="1">
      <c r="A112" s="39">
        <v>77</v>
      </c>
      <c r="B112" s="71" t="s">
        <v>163</v>
      </c>
      <c r="C112" s="63">
        <v>320</v>
      </c>
      <c r="D112" s="52"/>
      <c r="E112" s="52"/>
      <c r="F112" s="52"/>
      <c r="G112" s="52">
        <f>80.1</f>
        <v>80.1</v>
      </c>
      <c r="H112" s="52"/>
      <c r="I112" s="52"/>
      <c r="J112" s="52"/>
      <c r="K112" s="52"/>
      <c r="L112" s="52"/>
      <c r="M112" s="52"/>
      <c r="N112" s="52">
        <f>60.185</f>
        <v>60.185</v>
      </c>
      <c r="O112" s="52">
        <f>0.835+7.52</f>
        <v>8.355</v>
      </c>
      <c r="P112" s="52"/>
      <c r="Q112" s="52"/>
      <c r="R112" s="52"/>
      <c r="S112" s="52">
        <f>15.08</f>
        <v>15.08</v>
      </c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>
        <f>240</f>
        <v>240</v>
      </c>
      <c r="AQ112" s="52"/>
      <c r="AR112" s="52"/>
      <c r="AS112" s="52"/>
      <c r="AT112" s="52"/>
      <c r="AU112" s="52">
        <f>345</f>
        <v>345</v>
      </c>
      <c r="AV112" s="52">
        <f>72.9</f>
        <v>72.9</v>
      </c>
      <c r="AW112" s="52"/>
      <c r="AX112" s="52"/>
      <c r="AY112" s="52"/>
      <c r="AZ112" s="52"/>
      <c r="BA112" s="52"/>
      <c r="BB112" s="52">
        <f>320</f>
        <v>320</v>
      </c>
      <c r="BC112" s="52"/>
      <c r="BD112" s="52"/>
      <c r="BE112" s="52">
        <f>29.5</f>
        <v>29.5</v>
      </c>
      <c r="BF112" s="52"/>
      <c r="BG112" s="52"/>
      <c r="BH112" s="52"/>
      <c r="BI112" s="52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3"/>
      <c r="BU112" s="53"/>
      <c r="BV112" s="53"/>
      <c r="BW112" s="53"/>
      <c r="BX112" s="53"/>
      <c r="BY112" s="53"/>
      <c r="BZ112" s="54">
        <f t="shared" si="3"/>
        <v>1171.12</v>
      </c>
    </row>
    <row r="113" spans="1:78" s="42" customFormat="1" ht="15" customHeight="1">
      <c r="A113" s="39">
        <v>78</v>
      </c>
      <c r="B113" s="71" t="s">
        <v>110</v>
      </c>
      <c r="C113" s="63">
        <v>168</v>
      </c>
      <c r="D113" s="52"/>
      <c r="E113" s="52"/>
      <c r="F113" s="52"/>
      <c r="G113" s="52">
        <f>25.4+213.37+103.97+193.9+77.54+354.27+84.8+63+159.72+102.26+98.05</f>
        <v>1476.28</v>
      </c>
      <c r="H113" s="52">
        <f>155.6+149.6+50+50+54+54.5</f>
        <v>513.7</v>
      </c>
      <c r="I113" s="52"/>
      <c r="J113" s="52"/>
      <c r="K113" s="52"/>
      <c r="L113" s="52"/>
      <c r="M113" s="52"/>
      <c r="N113" s="52">
        <f>56.2</f>
        <v>56.2</v>
      </c>
      <c r="O113" s="52">
        <f>4.41+251+4.37+133.06</f>
        <v>392.84</v>
      </c>
      <c r="P113" s="52"/>
      <c r="Q113" s="52"/>
      <c r="R113" s="52"/>
      <c r="S113" s="52">
        <f>7.74</f>
        <v>7.74</v>
      </c>
      <c r="T113" s="52"/>
      <c r="U113" s="52"/>
      <c r="V113" s="52"/>
      <c r="W113" s="52">
        <v>3.84</v>
      </c>
      <c r="X113" s="52">
        <f>16.44</f>
        <v>16.44</v>
      </c>
      <c r="Y113" s="52">
        <f>198.045+303.445+55.467+6.608+33.7+19</f>
        <v>616.265</v>
      </c>
      <c r="Z113" s="52"/>
      <c r="AA113" s="52">
        <f>19.1</f>
        <v>19.1</v>
      </c>
      <c r="AB113" s="52">
        <f>99.5</f>
        <v>99.5</v>
      </c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>
        <f>122</f>
        <v>122</v>
      </c>
      <c r="AQ113" s="52"/>
      <c r="AR113" s="52"/>
      <c r="AS113" s="52"/>
      <c r="AT113" s="52"/>
      <c r="AU113" s="52">
        <f>431</f>
        <v>431</v>
      </c>
      <c r="AV113" s="52">
        <f>156.8</f>
        <v>156.8</v>
      </c>
      <c r="AW113" s="52"/>
      <c r="AX113" s="52"/>
      <c r="AY113" s="52"/>
      <c r="AZ113" s="52"/>
      <c r="BA113" s="52"/>
      <c r="BB113" s="52">
        <f>342</f>
        <v>342</v>
      </c>
      <c r="BC113" s="52"/>
      <c r="BD113" s="52"/>
      <c r="BE113" s="52">
        <f>173.5+61.15+40.1+181.2+29</f>
        <v>484.95</v>
      </c>
      <c r="BF113" s="52">
        <f>26.6</f>
        <v>26.6</v>
      </c>
      <c r="BG113" s="52">
        <f>28.8+301.5+40+86+92.5</f>
        <v>548.8</v>
      </c>
      <c r="BH113" s="52"/>
      <c r="BI113" s="52"/>
      <c r="BJ113" s="53"/>
      <c r="BK113" s="53"/>
      <c r="BL113" s="53"/>
      <c r="BM113" s="53"/>
      <c r="BN113" s="53">
        <f>283.14</f>
        <v>283.14</v>
      </c>
      <c r="BO113" s="53">
        <f>6.389+33.505</f>
        <v>39.894000000000005</v>
      </c>
      <c r="BP113" s="53">
        <f>360</f>
        <v>360</v>
      </c>
      <c r="BQ113" s="53"/>
      <c r="BR113" s="53"/>
      <c r="BS113" s="53"/>
      <c r="BT113" s="53"/>
      <c r="BU113" s="53"/>
      <c r="BV113" s="53"/>
      <c r="BW113" s="53"/>
      <c r="BX113" s="53"/>
      <c r="BY113" s="53"/>
      <c r="BZ113" s="54">
        <f t="shared" si="3"/>
        <v>5997.089000000001</v>
      </c>
    </row>
    <row r="114" spans="1:78" s="42" customFormat="1" ht="15" customHeight="1">
      <c r="A114" s="39">
        <v>79</v>
      </c>
      <c r="B114" s="71" t="s">
        <v>112</v>
      </c>
      <c r="C114" s="63">
        <v>320</v>
      </c>
      <c r="D114" s="52"/>
      <c r="E114" s="52"/>
      <c r="F114" s="52"/>
      <c r="G114" s="52">
        <f>6.83</f>
        <v>6.83</v>
      </c>
      <c r="H114" s="52">
        <f>35</f>
        <v>35</v>
      </c>
      <c r="I114" s="52"/>
      <c r="J114" s="52"/>
      <c r="K114" s="52"/>
      <c r="L114" s="52"/>
      <c r="M114" s="52"/>
      <c r="N114" s="52">
        <f>69.28+18.49+15</f>
        <v>102.77</v>
      </c>
      <c r="O114" s="52">
        <f>0.355+2.15+1.66+5</f>
        <v>9.165</v>
      </c>
      <c r="P114" s="52"/>
      <c r="Q114" s="52"/>
      <c r="R114" s="52"/>
      <c r="S114" s="52">
        <f>65.37</f>
        <v>65.37</v>
      </c>
      <c r="T114" s="52"/>
      <c r="U114" s="52"/>
      <c r="V114" s="52"/>
      <c r="W114" s="52"/>
      <c r="X114" s="52"/>
      <c r="Y114" s="52">
        <f>58.38+127+38.5</f>
        <v>223.88</v>
      </c>
      <c r="Z114" s="52"/>
      <c r="AA114" s="52">
        <f>20.55</f>
        <v>20.55</v>
      </c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>
        <f>118</f>
        <v>118</v>
      </c>
      <c r="AQ114" s="52"/>
      <c r="AR114" s="52"/>
      <c r="AS114" s="52"/>
      <c r="AT114" s="52"/>
      <c r="AU114" s="52">
        <f>355</f>
        <v>355</v>
      </c>
      <c r="AV114" s="52">
        <f>74.9</f>
        <v>74.9</v>
      </c>
      <c r="AW114" s="52"/>
      <c r="AX114" s="52"/>
      <c r="AY114" s="52"/>
      <c r="AZ114" s="52"/>
      <c r="BA114" s="52"/>
      <c r="BB114" s="52">
        <f>320</f>
        <v>320</v>
      </c>
      <c r="BC114" s="52"/>
      <c r="BD114" s="52"/>
      <c r="BE114" s="52"/>
      <c r="BF114" s="52"/>
      <c r="BG114" s="52"/>
      <c r="BH114" s="52"/>
      <c r="BI114" s="52"/>
      <c r="BJ114" s="53"/>
      <c r="BK114" s="53"/>
      <c r="BL114" s="53"/>
      <c r="BM114" s="53"/>
      <c r="BN114" s="53">
        <f>164.93</f>
        <v>164.93</v>
      </c>
      <c r="BO114" s="53">
        <f>15.05+6.09</f>
        <v>21.14</v>
      </c>
      <c r="BP114" s="53">
        <f>108</f>
        <v>108</v>
      </c>
      <c r="BQ114" s="53"/>
      <c r="BR114" s="53"/>
      <c r="BS114" s="53"/>
      <c r="BT114" s="53"/>
      <c r="BU114" s="53"/>
      <c r="BV114" s="53"/>
      <c r="BW114" s="53">
        <f>12</f>
        <v>12</v>
      </c>
      <c r="BX114" s="53"/>
      <c r="BY114" s="53"/>
      <c r="BZ114" s="54">
        <f t="shared" si="3"/>
        <v>1637.5350000000003</v>
      </c>
    </row>
    <row r="115" spans="1:78" s="42" customFormat="1" ht="15" customHeight="1">
      <c r="A115" s="39">
        <v>80</v>
      </c>
      <c r="B115" s="71" t="s">
        <v>134</v>
      </c>
      <c r="C115" s="63">
        <v>500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>
        <f>586</f>
        <v>586</v>
      </c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3"/>
      <c r="BK115" s="53"/>
      <c r="BL115" s="53"/>
      <c r="BM115" s="53"/>
      <c r="BN115" s="53"/>
      <c r="BO115" s="53"/>
      <c r="BP115" s="53">
        <f>288+1480.88</f>
        <v>1768.88</v>
      </c>
      <c r="BQ115" s="53"/>
      <c r="BR115" s="53"/>
      <c r="BS115" s="53"/>
      <c r="BT115" s="53"/>
      <c r="BU115" s="53"/>
      <c r="BV115" s="53"/>
      <c r="BW115" s="53"/>
      <c r="BX115" s="53"/>
      <c r="BY115" s="53"/>
      <c r="BZ115" s="54">
        <f t="shared" si="3"/>
        <v>2354.88</v>
      </c>
    </row>
    <row r="116" spans="1:78" s="42" customFormat="1" ht="15" customHeight="1">
      <c r="A116" s="39">
        <v>81</v>
      </c>
      <c r="B116" s="71" t="s">
        <v>135</v>
      </c>
      <c r="C116" s="63">
        <v>500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>
        <f>619</f>
        <v>619</v>
      </c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3"/>
      <c r="BK116" s="53"/>
      <c r="BL116" s="53"/>
      <c r="BM116" s="53"/>
      <c r="BN116" s="53"/>
      <c r="BO116" s="53"/>
      <c r="BP116" s="53">
        <f>993.6+1482.92</f>
        <v>2476.52</v>
      </c>
      <c r="BQ116" s="53"/>
      <c r="BR116" s="53"/>
      <c r="BS116" s="53"/>
      <c r="BT116" s="53"/>
      <c r="BU116" s="53"/>
      <c r="BV116" s="53"/>
      <c r="BW116" s="53"/>
      <c r="BX116" s="53"/>
      <c r="BY116" s="53"/>
      <c r="BZ116" s="54">
        <f t="shared" si="3"/>
        <v>3095.52</v>
      </c>
    </row>
    <row r="117" spans="1:78" s="42" customFormat="1" ht="15" customHeight="1">
      <c r="A117" s="39">
        <v>82</v>
      </c>
      <c r="B117" s="71" t="s">
        <v>136</v>
      </c>
      <c r="C117" s="63">
        <v>500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>
        <f>606</f>
        <v>606</v>
      </c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3"/>
      <c r="BK117" s="53"/>
      <c r="BL117" s="53"/>
      <c r="BM117" s="53"/>
      <c r="BN117" s="53"/>
      <c r="BO117" s="53"/>
      <c r="BP117" s="53">
        <f>907.2+1482.92</f>
        <v>2390.12</v>
      </c>
      <c r="BQ117" s="53"/>
      <c r="BR117" s="53"/>
      <c r="BS117" s="53"/>
      <c r="BT117" s="53"/>
      <c r="BU117" s="53"/>
      <c r="BV117" s="53"/>
      <c r="BW117" s="53"/>
      <c r="BX117" s="53"/>
      <c r="BY117" s="53"/>
      <c r="BZ117" s="54">
        <f t="shared" si="3"/>
        <v>2996.12</v>
      </c>
    </row>
    <row r="118" spans="1:78" s="42" customFormat="1" ht="15" customHeight="1">
      <c r="A118" s="39">
        <v>83</v>
      </c>
      <c r="B118" s="71" t="s">
        <v>137</v>
      </c>
      <c r="C118" s="63">
        <v>500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>
        <f>568</f>
        <v>568</v>
      </c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3"/>
      <c r="BK118" s="53"/>
      <c r="BL118" s="53"/>
      <c r="BM118" s="53"/>
      <c r="BN118" s="53"/>
      <c r="BO118" s="53"/>
      <c r="BP118" s="53">
        <f>705.6+1488.12</f>
        <v>2193.72</v>
      </c>
      <c r="BQ118" s="53"/>
      <c r="BR118" s="53"/>
      <c r="BS118" s="53"/>
      <c r="BT118" s="53"/>
      <c r="BU118" s="53"/>
      <c r="BV118" s="53"/>
      <c r="BW118" s="53"/>
      <c r="BX118" s="53"/>
      <c r="BY118" s="53"/>
      <c r="BZ118" s="54">
        <f t="shared" si="3"/>
        <v>2761.72</v>
      </c>
    </row>
    <row r="119" spans="1:78" s="42" customFormat="1" ht="15" customHeight="1">
      <c r="A119" s="39">
        <v>84</v>
      </c>
      <c r="B119" s="72" t="s">
        <v>179</v>
      </c>
      <c r="C119" s="63">
        <v>400</v>
      </c>
      <c r="D119" s="52"/>
      <c r="E119" s="52"/>
      <c r="F119" s="52"/>
      <c r="G119" s="52">
        <f>135.71+72+28.8+57.5+41.5</f>
        <v>335.51</v>
      </c>
      <c r="H119" s="52"/>
      <c r="I119" s="52"/>
      <c r="J119" s="52"/>
      <c r="K119" s="52"/>
      <c r="L119" s="52"/>
      <c r="M119" s="52"/>
      <c r="N119" s="52">
        <f>48.1+84.685</f>
        <v>132.785</v>
      </c>
      <c r="O119" s="52">
        <f>7.4+1.05</f>
        <v>8.450000000000001</v>
      </c>
      <c r="P119" s="52"/>
      <c r="Q119" s="52"/>
      <c r="R119" s="52"/>
      <c r="S119" s="52"/>
      <c r="T119" s="52"/>
      <c r="U119" s="52"/>
      <c r="V119" s="52"/>
      <c r="W119" s="52"/>
      <c r="X119" s="52">
        <f>1.5</f>
        <v>1.5</v>
      </c>
      <c r="Y119" s="52">
        <f>5.4</f>
        <v>5.4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>
        <f>148</f>
        <v>148</v>
      </c>
      <c r="AQ119" s="52"/>
      <c r="AR119" s="52"/>
      <c r="AS119" s="52"/>
      <c r="AT119" s="52"/>
      <c r="AU119" s="52">
        <f>376</f>
        <v>376</v>
      </c>
      <c r="AV119" s="52"/>
      <c r="AW119" s="52"/>
      <c r="AX119" s="52">
        <f>118.9</f>
        <v>118.9</v>
      </c>
      <c r="AY119" s="52"/>
      <c r="AZ119" s="52"/>
      <c r="BA119" s="52"/>
      <c r="BB119" s="52">
        <f>370</f>
        <v>370</v>
      </c>
      <c r="BC119" s="52"/>
      <c r="BD119" s="52"/>
      <c r="BE119" s="52">
        <f>75.5+125.35+36.4+30.4+12.4</f>
        <v>280.04999999999995</v>
      </c>
      <c r="BF119" s="52">
        <f>86.9+5.8</f>
        <v>92.7</v>
      </c>
      <c r="BG119" s="52">
        <f>14.1+37+88.8+195.5</f>
        <v>335.4</v>
      </c>
      <c r="BH119" s="52"/>
      <c r="BI119" s="52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4">
        <f t="shared" si="3"/>
        <v>2204.695</v>
      </c>
    </row>
    <row r="120" spans="1:78" s="42" customFormat="1" ht="15" customHeight="1">
      <c r="A120" s="39">
        <v>85</v>
      </c>
      <c r="B120" s="71" t="s">
        <v>109</v>
      </c>
      <c r="C120" s="63">
        <v>320</v>
      </c>
      <c r="D120" s="52"/>
      <c r="E120" s="52"/>
      <c r="F120" s="52"/>
      <c r="G120" s="52">
        <f>74.99</f>
        <v>74.99</v>
      </c>
      <c r="H120" s="52"/>
      <c r="I120" s="52"/>
      <c r="J120" s="52"/>
      <c r="K120" s="52"/>
      <c r="L120" s="52"/>
      <c r="M120" s="52"/>
      <c r="N120" s="52">
        <f>80.065</f>
        <v>80.065</v>
      </c>
      <c r="O120" s="52">
        <f>0.84+7.52+0.02</f>
        <v>8.379999999999999</v>
      </c>
      <c r="P120" s="52"/>
      <c r="Q120" s="52"/>
      <c r="R120" s="52">
        <f>6+2.545+8</f>
        <v>16.545</v>
      </c>
      <c r="S120" s="52">
        <f>57.2+83.477</f>
        <v>140.67700000000002</v>
      </c>
      <c r="T120" s="52"/>
      <c r="U120" s="52"/>
      <c r="V120" s="52"/>
      <c r="W120" s="52"/>
      <c r="X120" s="52"/>
      <c r="Y120" s="52"/>
      <c r="Z120" s="52"/>
      <c r="AA120" s="52">
        <f>13.35</f>
        <v>13.35</v>
      </c>
      <c r="AB120" s="52"/>
      <c r="AC120" s="52"/>
      <c r="AD120" s="52"/>
      <c r="AE120" s="52"/>
      <c r="AF120" s="52"/>
      <c r="AG120" s="52">
        <f>0.58+4.4</f>
        <v>4.98</v>
      </c>
      <c r="AH120" s="52">
        <f>31</f>
        <v>31</v>
      </c>
      <c r="AI120" s="52"/>
      <c r="AJ120" s="52"/>
      <c r="AK120" s="52"/>
      <c r="AL120" s="52"/>
      <c r="AM120" s="52"/>
      <c r="AN120" s="52"/>
      <c r="AO120" s="52"/>
      <c r="AP120" s="52">
        <f>240</f>
        <v>240</v>
      </c>
      <c r="AQ120" s="52"/>
      <c r="AR120" s="52"/>
      <c r="AS120" s="52"/>
      <c r="AT120" s="52"/>
      <c r="AU120" s="52">
        <f>350</f>
        <v>350</v>
      </c>
      <c r="AV120" s="52">
        <f>75.9</f>
        <v>75.9</v>
      </c>
      <c r="AW120" s="52"/>
      <c r="AX120" s="52"/>
      <c r="AY120" s="52"/>
      <c r="AZ120" s="52"/>
      <c r="BA120" s="52"/>
      <c r="BB120" s="52">
        <f>320</f>
        <v>320</v>
      </c>
      <c r="BC120" s="52"/>
      <c r="BD120" s="52"/>
      <c r="BE120" s="52"/>
      <c r="BF120" s="52"/>
      <c r="BG120" s="52"/>
      <c r="BH120" s="52"/>
      <c r="BI120" s="52"/>
      <c r="BJ120" s="53"/>
      <c r="BK120" s="53"/>
      <c r="BL120" s="53"/>
      <c r="BM120" s="53"/>
      <c r="BN120" s="53">
        <v>151.72</v>
      </c>
      <c r="BO120" s="53"/>
      <c r="BP120" s="53">
        <f>108</f>
        <v>108</v>
      </c>
      <c r="BQ120" s="53"/>
      <c r="BR120" s="53"/>
      <c r="BS120" s="53"/>
      <c r="BT120" s="53"/>
      <c r="BU120" s="53"/>
      <c r="BV120" s="53"/>
      <c r="BW120" s="53"/>
      <c r="BX120" s="53"/>
      <c r="BY120" s="53"/>
      <c r="BZ120" s="54">
        <f t="shared" si="3"/>
        <v>1615.6070000000002</v>
      </c>
    </row>
    <row r="121" spans="1:78" s="42" customFormat="1" ht="15" customHeight="1">
      <c r="A121" s="39">
        <v>86</v>
      </c>
      <c r="B121" s="71" t="s">
        <v>111</v>
      </c>
      <c r="C121" s="63">
        <v>40</v>
      </c>
      <c r="D121" s="52"/>
      <c r="E121" s="52">
        <f>78+0.536</f>
        <v>78.536</v>
      </c>
      <c r="F121" s="52"/>
      <c r="G121" s="52">
        <f>32.88+71.35+77.54+58.5+23+36+130.5</f>
        <v>429.77</v>
      </c>
      <c r="H121" s="52">
        <f>44.3+134.1+127.83+49.5+50</f>
        <v>405.72999999999996</v>
      </c>
      <c r="I121" s="52"/>
      <c r="J121" s="52"/>
      <c r="K121" s="52"/>
      <c r="L121" s="52"/>
      <c r="M121" s="52"/>
      <c r="N121" s="52"/>
      <c r="O121" s="52">
        <f>3.84</f>
        <v>3.84</v>
      </c>
      <c r="P121" s="52"/>
      <c r="Q121" s="52"/>
      <c r="R121" s="52"/>
      <c r="S121" s="52"/>
      <c r="T121" s="52">
        <f>51.16</f>
        <v>51.16</v>
      </c>
      <c r="U121" s="52"/>
      <c r="V121" s="52"/>
      <c r="W121" s="52"/>
      <c r="X121" s="52"/>
      <c r="Y121" s="52">
        <f>31.87+188+23.446+7.9</f>
        <v>251.216</v>
      </c>
      <c r="Z121" s="52"/>
      <c r="AA121" s="52"/>
      <c r="AB121" s="52">
        <f>30</f>
        <v>30</v>
      </c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>
        <f>207+27</f>
        <v>234</v>
      </c>
      <c r="AV121" s="52">
        <f>129.9</f>
        <v>129.9</v>
      </c>
      <c r="AW121" s="52"/>
      <c r="AX121" s="52"/>
      <c r="AY121" s="52"/>
      <c r="AZ121" s="52"/>
      <c r="BA121" s="52"/>
      <c r="BB121" s="52">
        <f>180</f>
        <v>180</v>
      </c>
      <c r="BC121" s="52"/>
      <c r="BD121" s="52">
        <f>10</f>
        <v>10</v>
      </c>
      <c r="BE121" s="52">
        <f>165.25+97.3+68.4+44.5+39.6+70.4</f>
        <v>485.45000000000005</v>
      </c>
      <c r="BF121" s="52">
        <f>21.5</f>
        <v>21.5</v>
      </c>
      <c r="BG121" s="52">
        <f>72.5+28.5+246.075+119.4</f>
        <v>466.475</v>
      </c>
      <c r="BH121" s="52"/>
      <c r="BI121" s="52"/>
      <c r="BJ121" s="53"/>
      <c r="BK121" s="53"/>
      <c r="BL121" s="53"/>
      <c r="BM121" s="53"/>
      <c r="BN121" s="53">
        <f>79.5</f>
        <v>79.5</v>
      </c>
      <c r="BO121" s="53"/>
      <c r="BP121" s="53">
        <f>36</f>
        <v>36</v>
      </c>
      <c r="BQ121" s="53"/>
      <c r="BR121" s="53"/>
      <c r="BS121" s="53"/>
      <c r="BT121" s="53"/>
      <c r="BU121" s="53"/>
      <c r="BV121" s="53"/>
      <c r="BW121" s="53"/>
      <c r="BX121" s="53"/>
      <c r="BY121" s="53"/>
      <c r="BZ121" s="54">
        <f t="shared" si="3"/>
        <v>2893.0769999999998</v>
      </c>
    </row>
    <row r="122" spans="1:78" s="42" customFormat="1" ht="15" customHeight="1">
      <c r="A122" s="39">
        <v>87</v>
      </c>
      <c r="B122" s="71" t="s">
        <v>105</v>
      </c>
      <c r="C122" s="63">
        <v>320</v>
      </c>
      <c r="D122" s="52"/>
      <c r="E122" s="52"/>
      <c r="F122" s="52"/>
      <c r="G122" s="52">
        <f>72.7+52.7</f>
        <v>125.4</v>
      </c>
      <c r="H122" s="52">
        <f>20.5</f>
        <v>20.5</v>
      </c>
      <c r="I122" s="52"/>
      <c r="J122" s="52"/>
      <c r="K122" s="52"/>
      <c r="L122" s="52"/>
      <c r="M122" s="52"/>
      <c r="N122" s="52">
        <f>40.25</f>
        <v>40.25</v>
      </c>
      <c r="O122" s="52">
        <f>1.04+19.5+3.22+6</f>
        <v>29.759999999999998</v>
      </c>
      <c r="P122" s="52">
        <f>2.015</f>
        <v>2.015</v>
      </c>
      <c r="Q122" s="52"/>
      <c r="R122" s="52"/>
      <c r="S122" s="52">
        <f>18.9</f>
        <v>18.9</v>
      </c>
      <c r="T122" s="52"/>
      <c r="U122" s="52"/>
      <c r="V122" s="52"/>
      <c r="W122" s="52"/>
      <c r="X122" s="52">
        <f>28.401</f>
        <v>28.401</v>
      </c>
      <c r="Y122" s="52">
        <f>29.2</f>
        <v>29.2</v>
      </c>
      <c r="Z122" s="52"/>
      <c r="AA122" s="52">
        <f>11.7</f>
        <v>11.7</v>
      </c>
      <c r="AB122" s="52"/>
      <c r="AC122" s="52"/>
      <c r="AD122" s="52"/>
      <c r="AE122" s="52"/>
      <c r="AF122" s="52"/>
      <c r="AG122" s="52"/>
      <c r="AH122" s="52">
        <f>11.07</f>
        <v>11.07</v>
      </c>
      <c r="AI122" s="52"/>
      <c r="AJ122" s="52"/>
      <c r="AK122" s="52"/>
      <c r="AL122" s="52"/>
      <c r="AM122" s="52"/>
      <c r="AN122" s="52"/>
      <c r="AO122" s="52"/>
      <c r="AP122" s="52">
        <f>240</f>
        <v>240</v>
      </c>
      <c r="AQ122" s="52"/>
      <c r="AR122" s="52"/>
      <c r="AS122" s="52"/>
      <c r="AT122" s="52"/>
      <c r="AU122" s="52">
        <f>56</f>
        <v>56</v>
      </c>
      <c r="AV122" s="52">
        <f>105.36</f>
        <v>105.36</v>
      </c>
      <c r="AW122" s="52"/>
      <c r="AX122" s="52"/>
      <c r="AY122" s="52"/>
      <c r="AZ122" s="52">
        <f>381</f>
        <v>381</v>
      </c>
      <c r="BA122" s="52"/>
      <c r="BB122" s="52">
        <f>330</f>
        <v>330</v>
      </c>
      <c r="BC122" s="52"/>
      <c r="BD122" s="52"/>
      <c r="BE122" s="52">
        <f>46.6</f>
        <v>46.6</v>
      </c>
      <c r="BF122" s="52"/>
      <c r="BG122" s="52">
        <f>67.5+102.5+21.5</f>
        <v>191.5</v>
      </c>
      <c r="BH122" s="52"/>
      <c r="BI122" s="52"/>
      <c r="BJ122" s="53"/>
      <c r="BK122" s="53"/>
      <c r="BL122" s="53"/>
      <c r="BM122" s="53"/>
      <c r="BN122" s="53">
        <f>149.5</f>
        <v>149.5</v>
      </c>
      <c r="BO122" s="53">
        <f>21.17</f>
        <v>21.17</v>
      </c>
      <c r="BP122" s="53">
        <f>187.2</f>
        <v>187.2</v>
      </c>
      <c r="BQ122" s="53"/>
      <c r="BR122" s="53"/>
      <c r="BS122" s="53"/>
      <c r="BT122" s="53"/>
      <c r="BU122" s="53"/>
      <c r="BV122" s="53"/>
      <c r="BW122" s="53"/>
      <c r="BX122" s="53"/>
      <c r="BY122" s="53"/>
      <c r="BZ122" s="54">
        <f t="shared" si="3"/>
        <v>2025.526</v>
      </c>
    </row>
    <row r="123" spans="1:78" s="42" customFormat="1" ht="15" customHeight="1">
      <c r="A123" s="39">
        <v>88</v>
      </c>
      <c r="B123" s="71" t="s">
        <v>103</v>
      </c>
      <c r="C123" s="63">
        <v>160</v>
      </c>
      <c r="D123" s="52"/>
      <c r="E123" s="52"/>
      <c r="F123" s="52"/>
      <c r="G123" s="52">
        <f>4</f>
        <v>4</v>
      </c>
      <c r="H123" s="52">
        <f>22</f>
        <v>22</v>
      </c>
      <c r="I123" s="52"/>
      <c r="J123" s="52"/>
      <c r="K123" s="52"/>
      <c r="L123" s="52"/>
      <c r="M123" s="52"/>
      <c r="N123" s="52">
        <f>72.752+35.678</f>
        <v>108.42999999999999</v>
      </c>
      <c r="O123" s="52">
        <f>16.395+0.24</f>
        <v>16.634999999999998</v>
      </c>
      <c r="P123" s="52"/>
      <c r="Q123" s="52"/>
      <c r="R123" s="52">
        <f>2.04</f>
        <v>2.04</v>
      </c>
      <c r="S123" s="52">
        <f>62.48+12.21+19</f>
        <v>93.69</v>
      </c>
      <c r="T123" s="52"/>
      <c r="U123" s="52"/>
      <c r="V123" s="52"/>
      <c r="W123" s="52"/>
      <c r="X123" s="52"/>
      <c r="Y123" s="52">
        <f>16.25</f>
        <v>16.25</v>
      </c>
      <c r="Z123" s="52"/>
      <c r="AA123" s="52">
        <f>8.7</f>
        <v>8.7</v>
      </c>
      <c r="AB123" s="52"/>
      <c r="AC123" s="52"/>
      <c r="AD123" s="52"/>
      <c r="AE123" s="52"/>
      <c r="AF123" s="52"/>
      <c r="AG123" s="52">
        <f>3.755</f>
        <v>3.755</v>
      </c>
      <c r="AH123" s="52">
        <f>31</f>
        <v>31</v>
      </c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>
        <f>340+50</f>
        <v>390</v>
      </c>
      <c r="AV123" s="52">
        <f>89.68</f>
        <v>89.68</v>
      </c>
      <c r="AW123" s="52">
        <f>12</f>
        <v>12</v>
      </c>
      <c r="AX123" s="52"/>
      <c r="AY123" s="52"/>
      <c r="AZ123" s="52"/>
      <c r="BA123" s="52"/>
      <c r="BB123" s="52">
        <f>240</f>
        <v>240</v>
      </c>
      <c r="BC123" s="52"/>
      <c r="BD123" s="52"/>
      <c r="BE123" s="52"/>
      <c r="BF123" s="52"/>
      <c r="BG123" s="52"/>
      <c r="BH123" s="52"/>
      <c r="BI123" s="52"/>
      <c r="BJ123" s="53"/>
      <c r="BK123" s="53"/>
      <c r="BL123" s="53"/>
      <c r="BM123" s="53"/>
      <c r="BN123" s="53">
        <f>106</f>
        <v>106</v>
      </c>
      <c r="BO123" s="53"/>
      <c r="BP123" s="53">
        <f>14.4</f>
        <v>14.4</v>
      </c>
      <c r="BQ123" s="53"/>
      <c r="BR123" s="53"/>
      <c r="BS123" s="53"/>
      <c r="BT123" s="53"/>
      <c r="BU123" s="53"/>
      <c r="BV123" s="53">
        <f>13</f>
        <v>13</v>
      </c>
      <c r="BW123" s="53"/>
      <c r="BX123" s="53"/>
      <c r="BY123" s="53"/>
      <c r="BZ123" s="54">
        <f t="shared" si="3"/>
        <v>1171.5800000000002</v>
      </c>
    </row>
    <row r="124" spans="1:78" s="42" customFormat="1" ht="15" customHeight="1">
      <c r="A124" s="39">
        <v>89</v>
      </c>
      <c r="B124" s="67" t="s">
        <v>130</v>
      </c>
      <c r="C124" s="63">
        <v>1360</v>
      </c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3"/>
      <c r="BK124" s="53">
        <f>101.94</f>
        <v>101.94</v>
      </c>
      <c r="BL124" s="53">
        <v>17.55</v>
      </c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4">
        <f t="shared" si="3"/>
        <v>119.49</v>
      </c>
    </row>
    <row r="125" spans="1:78" s="42" customFormat="1" ht="15" customHeight="1">
      <c r="A125" s="39">
        <v>90</v>
      </c>
      <c r="B125" s="67" t="s">
        <v>181</v>
      </c>
      <c r="C125" s="63">
        <v>60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>
        <f>21</f>
        <v>21</v>
      </c>
      <c r="W125" s="52"/>
      <c r="X125" s="52"/>
      <c r="Y125" s="52">
        <f>41</f>
        <v>41</v>
      </c>
      <c r="Z125" s="52"/>
      <c r="AA125" s="52"/>
      <c r="AB125" s="52"/>
      <c r="AC125" s="52"/>
      <c r="AD125" s="52"/>
      <c r="AE125" s="52"/>
      <c r="AF125" s="52">
        <f>60.8</f>
        <v>60.8</v>
      </c>
      <c r="AG125" s="52"/>
      <c r="AH125" s="52">
        <f>159.458+36</f>
        <v>195.458</v>
      </c>
      <c r="AI125" s="52">
        <f>41.761</f>
        <v>41.761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4">
        <f t="shared" si="3"/>
        <v>360.019</v>
      </c>
    </row>
    <row r="126" spans="1:78" s="42" customFormat="1" ht="15" customHeight="1">
      <c r="A126" s="39">
        <v>91</v>
      </c>
      <c r="B126" s="67" t="s">
        <v>180</v>
      </c>
      <c r="C126" s="63">
        <v>40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>
        <f>19</f>
        <v>19</v>
      </c>
      <c r="W126" s="52"/>
      <c r="X126" s="52"/>
      <c r="Y126" s="52">
        <f>158+61+4.4</f>
        <v>223.4</v>
      </c>
      <c r="Z126" s="52"/>
      <c r="AA126" s="52"/>
      <c r="AB126" s="52"/>
      <c r="AC126" s="52"/>
      <c r="AD126" s="52"/>
      <c r="AE126" s="52"/>
      <c r="AF126" s="52">
        <f>115.2</f>
        <v>115.2</v>
      </c>
      <c r="AG126" s="52"/>
      <c r="AH126" s="52">
        <f>148.794+25.1</f>
        <v>173.894</v>
      </c>
      <c r="AI126" s="52">
        <f>1.835+32.9+0.006</f>
        <v>34.741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3"/>
      <c r="BK126" s="53"/>
      <c r="BL126" s="53"/>
      <c r="BM126" s="53"/>
      <c r="BN126" s="53">
        <v>101.125</v>
      </c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4">
        <f t="shared" si="3"/>
        <v>667.36</v>
      </c>
    </row>
    <row r="127" spans="1:84" s="4" customFormat="1" ht="19.5" customHeight="1">
      <c r="A127" s="76" t="s">
        <v>23</v>
      </c>
      <c r="B127" s="77"/>
      <c r="C127" s="73">
        <v>54167</v>
      </c>
      <c r="D127" s="46">
        <v>17048.114</v>
      </c>
      <c r="E127" s="46">
        <v>179.465</v>
      </c>
      <c r="F127" s="46">
        <v>97.564</v>
      </c>
      <c r="G127" s="46">
        <v>2532.88</v>
      </c>
      <c r="H127" s="46">
        <v>996.93</v>
      </c>
      <c r="I127" s="46">
        <v>17</v>
      </c>
      <c r="J127" s="46">
        <v>278.5</v>
      </c>
      <c r="K127" s="46">
        <v>15</v>
      </c>
      <c r="L127" s="46">
        <v>462.68</v>
      </c>
      <c r="M127" s="46">
        <v>703.805</v>
      </c>
      <c r="N127" s="46">
        <v>580.685</v>
      </c>
      <c r="O127" s="46">
        <v>477.425</v>
      </c>
      <c r="P127" s="46">
        <v>3.27</v>
      </c>
      <c r="Q127" s="46">
        <v>28.25</v>
      </c>
      <c r="R127" s="46">
        <v>18.585</v>
      </c>
      <c r="S127" s="46">
        <v>367.007</v>
      </c>
      <c r="T127" s="46">
        <v>2986.073</v>
      </c>
      <c r="U127" s="46">
        <v>70</v>
      </c>
      <c r="V127" s="46">
        <v>40</v>
      </c>
      <c r="W127" s="46">
        <v>3.84</v>
      </c>
      <c r="X127" s="46">
        <v>46.341</v>
      </c>
      <c r="Y127" s="46">
        <v>1406.611</v>
      </c>
      <c r="Z127" s="46">
        <v>87.4</v>
      </c>
      <c r="AA127" s="46">
        <v>73.4</v>
      </c>
      <c r="AB127" s="46">
        <v>244</v>
      </c>
      <c r="AC127" s="46">
        <v>16617.21</v>
      </c>
      <c r="AD127" s="46">
        <v>15720</v>
      </c>
      <c r="AE127" s="46">
        <v>73.3</v>
      </c>
      <c r="AF127" s="46">
        <v>176</v>
      </c>
      <c r="AG127" s="46">
        <v>8.735</v>
      </c>
      <c r="AH127" s="46">
        <v>442.422</v>
      </c>
      <c r="AI127" s="46">
        <v>100.502</v>
      </c>
      <c r="AJ127" s="46">
        <v>245.914</v>
      </c>
      <c r="AK127" s="46">
        <v>0.9</v>
      </c>
      <c r="AL127" s="46">
        <v>86.35</v>
      </c>
      <c r="AM127" s="46">
        <v>1774</v>
      </c>
      <c r="AN127" s="46">
        <v>10100.1</v>
      </c>
      <c r="AO127" s="46">
        <v>48</v>
      </c>
      <c r="AP127" s="46">
        <v>3487</v>
      </c>
      <c r="AQ127" s="46">
        <v>6671</v>
      </c>
      <c r="AR127" s="46">
        <v>793.7</v>
      </c>
      <c r="AS127" s="46">
        <v>10</v>
      </c>
      <c r="AT127" s="46">
        <v>1915.2</v>
      </c>
      <c r="AU127" s="46">
        <v>2537</v>
      </c>
      <c r="AV127" s="46">
        <v>705.44</v>
      </c>
      <c r="AW127" s="46">
        <v>12</v>
      </c>
      <c r="AX127" s="46">
        <v>1273.6</v>
      </c>
      <c r="AY127" s="46">
        <v>481.8</v>
      </c>
      <c r="AZ127" s="46">
        <v>7694.348</v>
      </c>
      <c r="BA127" s="46">
        <v>11014.152</v>
      </c>
      <c r="BB127" s="46">
        <v>2422</v>
      </c>
      <c r="BC127" s="46">
        <v>3834</v>
      </c>
      <c r="BD127" s="46">
        <v>10</v>
      </c>
      <c r="BE127" s="46">
        <v>1326.55</v>
      </c>
      <c r="BF127" s="46">
        <v>140.8</v>
      </c>
      <c r="BG127" s="46">
        <v>1542.175</v>
      </c>
      <c r="BH127" s="46">
        <v>2320.2</v>
      </c>
      <c r="BI127" s="46">
        <v>124</v>
      </c>
      <c r="BJ127" s="46">
        <v>2927.99</v>
      </c>
      <c r="BK127" s="46">
        <v>101.94</v>
      </c>
      <c r="BL127" s="46">
        <v>17.55</v>
      </c>
      <c r="BM127" s="46">
        <v>321.4</v>
      </c>
      <c r="BN127" s="46">
        <v>1035.915</v>
      </c>
      <c r="BO127" s="46">
        <v>82.204</v>
      </c>
      <c r="BP127" s="46">
        <v>83982.63</v>
      </c>
      <c r="BQ127" s="46">
        <v>35734.6</v>
      </c>
      <c r="BR127" s="46">
        <v>7819.2</v>
      </c>
      <c r="BS127" s="46">
        <v>275</v>
      </c>
      <c r="BT127" s="46">
        <v>713.7</v>
      </c>
      <c r="BU127" s="46">
        <v>2397.091</v>
      </c>
      <c r="BV127" s="46">
        <v>133.53</v>
      </c>
      <c r="BW127" s="46">
        <v>12</v>
      </c>
      <c r="BX127" s="46">
        <v>0.5</v>
      </c>
      <c r="BY127" s="46">
        <v>1462</v>
      </c>
      <c r="BZ127" s="48">
        <v>259490.473</v>
      </c>
      <c r="CA127" s="23"/>
      <c r="CB127" s="23"/>
      <c r="CC127" s="23"/>
      <c r="CD127" s="23"/>
      <c r="CE127" s="23"/>
      <c r="CF127" s="41"/>
    </row>
    <row r="128" spans="1:78" ht="16.5" customHeight="1">
      <c r="A128" s="34"/>
      <c r="B128" s="3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Z128" s="62"/>
    </row>
    <row r="129" spans="2:89" ht="16.5" customHeight="1">
      <c r="B129" s="35"/>
      <c r="CK129" s="6" t="s">
        <v>82</v>
      </c>
    </row>
  </sheetData>
  <sheetProtection password="C199" sheet="1" objects="1" scenarios="1" selectLockedCells="1" selectUnlockedCells="1"/>
  <mergeCells count="2">
    <mergeCell ref="B7:B8"/>
    <mergeCell ref="A127:B127"/>
  </mergeCells>
  <hyperlinks>
    <hyperlink ref="D5" location="'Gráfico de Atendimento'!A1" display="Gráfico de Atendimento"/>
    <hyperlink ref="A1" location="JANEIRO!A1" display="Voltar"/>
  </hyperlinks>
  <printOptions/>
  <pageMargins left="0.31496062992125984" right="0.5511811023622047" top="0.35433070866141736" bottom="0.5511811023622047" header="0.31496062992125984" footer="0.5118110236220472"/>
  <pageSetup fitToHeight="1" fitToWidth="1" horizontalDpi="600" verticalDpi="600" orientation="landscape" paperSize="8" scale="14" r:id="rId4"/>
  <rowBreaks count="1" manualBreakCount="1">
    <brk id="35" max="255" man="1"/>
  </rowBreaks>
  <colBreaks count="1" manualBreakCount="1">
    <brk id="9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Givanildo Apoio MBS</dc:creator>
  <cp:keywords/>
  <dc:description/>
  <cp:lastModifiedBy>GEORGETON SALES NASCIMENTO FILHO</cp:lastModifiedBy>
  <cp:lastPrinted>2020-12-16T18:46:58Z</cp:lastPrinted>
  <dcterms:created xsi:type="dcterms:W3CDTF">2008-12-22T13:28:48Z</dcterms:created>
  <dcterms:modified xsi:type="dcterms:W3CDTF">2020-12-16T18:48:12Z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